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9995" windowHeight="8850" activeTab="0"/>
  </bookViews>
  <sheets>
    <sheet name="Tính toán ĐC SMRM - Sơ bộ" sheetId="1" r:id="rId1"/>
    <sheet name="Tính toán Kiểm tra chi tiết" sheetId="2" r:id="rId2"/>
    <sheet name="Bản vẽ nghiệm thu (3 trục)" sheetId="3" r:id="rId3"/>
    <sheet name="Bản vẽ nghiệm thu (2 trục)" sheetId="4" r:id="rId4"/>
  </sheets>
  <externalReferences>
    <externalReference r:id="rId7"/>
  </externalReferences>
  <definedNames>
    <definedName name="_xlnm.Print_Area" localSheetId="3">'Bản vẽ nghiệm thu (2 trục)'!$A$1:$M$42</definedName>
    <definedName name="_xlnm.Print_Area" localSheetId="0">'Tính toán ĐC SMRM - Sơ bộ'!$A$1:$AB$31</definedName>
    <definedName name="_xlnm.Print_Area" localSheetId="1">'Tính toán Kiểm tra chi tiết'!$A$1:$I$41</definedName>
  </definedNames>
  <calcPr fullCalcOnLoad="1" refMode="R1C1"/>
</workbook>
</file>

<file path=xl/comments2.xml><?xml version="1.0" encoding="utf-8"?>
<comments xmlns="http://schemas.openxmlformats.org/spreadsheetml/2006/main">
  <authors>
    <author>User</author>
  </authors>
  <commentList>
    <comment ref="I33" authorId="0">
      <text>
        <r>
          <rPr>
            <i/>
            <sz val="9"/>
            <color indexed="10"/>
            <rFont val="Arial"/>
            <family val="2"/>
          </rPr>
          <t>Giá trị đã được làm tròn số</t>
        </r>
      </text>
    </comment>
  </commentList>
</comments>
</file>

<file path=xl/sharedStrings.xml><?xml version="1.0" encoding="utf-8"?>
<sst xmlns="http://schemas.openxmlformats.org/spreadsheetml/2006/main" count="261" uniqueCount="191">
  <si>
    <t>Khối lượng bản thân</t>
  </si>
  <si>
    <t>kg</t>
  </si>
  <si>
    <t>Số trục sơ mi rơ moóc</t>
  </si>
  <si>
    <t xml:space="preserve"> - KL Bản thân</t>
  </si>
  <si>
    <t xml:space="preserve"> - Khối lượng Hàng chuyên chở theo thiết kế</t>
  </si>
  <si>
    <t xml:space="preserve"> - Khối lượng toàn bộ Theo Thiết kế</t>
  </si>
  <si>
    <t>Nhãn hiệu/Số loại</t>
  </si>
  <si>
    <t>Phân bố lên Chốt kéo</t>
  </si>
  <si>
    <t>Phân bố lên Cụm trục sau</t>
  </si>
  <si>
    <t>Khối lượng của 01 cầu SMRM</t>
  </si>
  <si>
    <t>Khối lượng 01 cụm treo (nhíp + mõ nhíp + các thanh liên kết)</t>
  </si>
  <si>
    <t>Khối lượng cụm lốp + vành (la giăng)</t>
  </si>
  <si>
    <r>
      <t>Khoảng cách từ trọng tâm hàng hóa tới tâm cụm trục sau (</t>
    </r>
    <r>
      <rPr>
        <b/>
        <sz val="9"/>
        <color indexed="10"/>
        <rFont val="Tahoma"/>
        <family val="2"/>
      </rPr>
      <t>OS</t>
    </r>
    <r>
      <rPr>
        <sz val="9"/>
        <rFont val="Tahoma"/>
        <family val="2"/>
      </rPr>
      <t>)</t>
    </r>
  </si>
  <si>
    <t xml:space="preserve">Chiều dài cơ sở tính toán (WB) </t>
  </si>
  <si>
    <t>Khối lượng của cụm cầu SMRM</t>
  </si>
  <si>
    <t>Khối lượng cụm treo (nhíp + mõ nhíp + các thanh liên kết)</t>
  </si>
  <si>
    <t xml:space="preserve">Thông số kích thước của SMRM </t>
  </si>
  <si>
    <t>Khối lượng của cả cụm (cầu sau) SMRM</t>
  </si>
  <si>
    <r>
      <t>Khoảng cách từ cụm trục sau tới đuôi SMRM (</t>
    </r>
    <r>
      <rPr>
        <b/>
        <sz val="9"/>
        <color indexed="10"/>
        <rFont val="Tahoma"/>
        <family val="2"/>
      </rPr>
      <t>ROH</t>
    </r>
    <r>
      <rPr>
        <sz val="9"/>
        <rFont val="Tahoma"/>
        <family val="2"/>
      </rPr>
      <t>)</t>
    </r>
  </si>
  <si>
    <r>
      <t xml:space="preserve">Khoảng cách từ trọng tâm hàng hóa tới đầu xe </t>
    </r>
    <r>
      <rPr>
        <b/>
        <sz val="10"/>
        <color indexed="10"/>
        <rFont val="Arial"/>
        <family val="2"/>
      </rPr>
      <t>FOS</t>
    </r>
    <r>
      <rPr>
        <sz val="10"/>
        <rFont val="Arial"/>
        <family val="2"/>
      </rPr>
      <t xml:space="preserve"> (nguyên thủy)</t>
    </r>
  </si>
  <si>
    <r>
      <t xml:space="preserve">Khối lượng bản thân không tính cụm trục sau của SMRM </t>
    </r>
    <r>
      <rPr>
        <b/>
        <sz val="10"/>
        <color indexed="10"/>
        <rFont val="Arial"/>
        <family val="2"/>
      </rPr>
      <t>G0SM1</t>
    </r>
  </si>
  <si>
    <t>Tải trọng trục cho phép TGGT cho cụm trục sau (có d = 1,310 &gt; 1,3m)</t>
  </si>
  <si>
    <t xml:space="preserve"> + Khối lượng toàn bộ CPTGGT phân bố lên chốt kéo       </t>
  </si>
  <si>
    <t xml:space="preserve"> + Khối lượng toàn bộ CPTGGT Phân bố lên cụm trục sau </t>
  </si>
  <si>
    <t>khavaq@gmail.com - 0903407789</t>
  </si>
  <si>
    <t>Liên hệ: Đỗ Văn Kha - Phòng Chất lượng XCG - Cục Đăng Kiểm Việt Nam -nếu cần giải đáp thắc mắc</t>
  </si>
  <si>
    <t xml:space="preserve">Số khung: </t>
  </si>
  <si>
    <t>LGA…</t>
  </si>
  <si>
    <t xml:space="preserve">Loại phương tiện: </t>
  </si>
  <si>
    <t>* Chú ý: nhập đủ dữ liệu vào toàn bộ các ô màu VÀNG</t>
  </si>
  <si>
    <t>Số khung:</t>
  </si>
  <si>
    <t>Nhãn hiệu / Số loại / Model code</t>
  </si>
  <si>
    <t>Loại phương tiện</t>
  </si>
  <si>
    <t>Chiều dài toàn bộ của SMRM (OAL)</t>
  </si>
  <si>
    <t>Khoảng cách từ đầu SMRM tới tâm kingpin (FOH)</t>
  </si>
  <si>
    <t>Chiều dài cơ sở</t>
  </si>
  <si>
    <r>
      <t>Khoảng cách từ trọng tâm thùng hàng đến tâm cụm cầu sau (</t>
    </r>
    <r>
      <rPr>
        <b/>
        <sz val="9"/>
        <color indexed="8"/>
        <rFont val="Arial"/>
        <family val="2"/>
      </rPr>
      <t>os</t>
    </r>
    <r>
      <rPr>
        <sz val="9"/>
        <color indexed="8"/>
        <rFont val="Arial"/>
        <family val="2"/>
      </rPr>
      <t>)</t>
    </r>
  </si>
  <si>
    <t>KL bản thân</t>
  </si>
  <si>
    <t>KL hàng chuyên chở theo TK</t>
  </si>
  <si>
    <r>
      <t>Phân bố lên mâm kéo (</t>
    </r>
    <r>
      <rPr>
        <b/>
        <sz val="9"/>
        <color indexed="8"/>
        <rFont val="Arial"/>
        <family val="2"/>
      </rPr>
      <t>kingpin</t>
    </r>
    <r>
      <rPr>
        <sz val="9"/>
        <color indexed="8"/>
        <rFont val="Arial"/>
        <family val="2"/>
      </rPr>
      <t>)</t>
    </r>
  </si>
  <si>
    <t>Phân bố lên cầu sau hoặc cụm cầu sau</t>
  </si>
  <si>
    <t>SMRM tải (chở container)</t>
  </si>
  <si>
    <t>.</t>
  </si>
  <si>
    <r>
      <t xml:space="preserve">Đầu kéo giả định: </t>
    </r>
    <r>
      <rPr>
        <b/>
        <i/>
        <sz val="11"/>
        <color indexed="10"/>
        <rFont val="Arial"/>
        <family val="2"/>
      </rPr>
      <t>Chú ý bắt buộc phải chọn đầu kéo mẫu phù hợp để có kết quả tối ưu nhất</t>
    </r>
  </si>
  <si>
    <t>Chiều dài toàn bộ của đầu kéo (OAL)</t>
  </si>
  <si>
    <t>Khoảng cách từ tâm của mâm kéo tới đuôi xe (OS+ROH)</t>
  </si>
  <si>
    <t>Khối lượng bản thân của đầu kéo</t>
  </si>
  <si>
    <t>Khối lượng người</t>
  </si>
  <si>
    <r>
      <t>Khối lượng chuyên chở CPTGGT</t>
    </r>
    <r>
      <rPr>
        <sz val="8"/>
        <color indexed="12"/>
        <rFont val="Arial"/>
        <family val="2"/>
      </rPr>
      <t xml:space="preserve"> </t>
    </r>
    <r>
      <rPr>
        <i/>
        <sz val="8"/>
        <color indexed="12"/>
        <rFont val="Arial"/>
        <family val="2"/>
      </rPr>
      <t>(Khối lượng hàng CPTGGT đặt lên mâm kéo)</t>
    </r>
  </si>
  <si>
    <t>Khối lượng toàn bộ CPTGGT</t>
  </si>
  <si>
    <t>Khối lượng kéo theo CPTGGT</t>
  </si>
  <si>
    <t>Khối lượng kéo theo theo TK</t>
  </si>
  <si>
    <t>HYUNDAI / HD700</t>
  </si>
  <si>
    <t xml:space="preserve"> KẾT QUẢ TÍNH TOÁN SMRM</t>
  </si>
  <si>
    <t>Đăng kiểm viên</t>
  </si>
  <si>
    <t>Đội trưởng</t>
  </si>
  <si>
    <t xml:space="preserve">     Khối lượng bản thân:</t>
  </si>
  <si>
    <t>(ký và ghi rõ họ tên)</t>
  </si>
  <si>
    <t xml:space="preserve">     Khối lượng hàng chuyên chở theo thiết kế:</t>
  </si>
  <si>
    <t xml:space="preserve">     Khối lượng hàng chuyên chở cho phép TGGT:</t>
  </si>
  <si>
    <t xml:space="preserve">     Khối lượng toàn bộ theo thiết kế:</t>
  </si>
  <si>
    <t xml:space="preserve">     Khối lượng toàn bộ cho phép TGGT:</t>
  </si>
  <si>
    <t>Printed:</t>
  </si>
  <si>
    <t>OAL</t>
  </si>
  <si>
    <t>OS+ROH</t>
  </si>
  <si>
    <t>BẢNG TÍNH (SMRM)</t>
  </si>
  <si>
    <t>HYUNDAI / HD450</t>
  </si>
  <si>
    <t>4x2</t>
  </si>
  <si>
    <t>Số trục</t>
  </si>
  <si>
    <t>-</t>
  </si>
  <si>
    <t>6x4</t>
  </si>
  <si>
    <t>SMRM tải</t>
  </si>
  <si>
    <t>Chiều dài cơ sở tính toán (mm)</t>
  </si>
  <si>
    <t>WB</t>
  </si>
  <si>
    <t>Tỷ lệ</t>
  </si>
  <si>
    <t>HYUNDAI / HD1000</t>
  </si>
  <si>
    <t>Khối lượng bản thân (kg)</t>
  </si>
  <si>
    <t>Kingpin (KL đặt lên mâm kéo của đầu kéo)</t>
  </si>
  <si>
    <t>G01</t>
  </si>
  <si>
    <t>KL bản thân phân bố lên 1 trục sau</t>
  </si>
  <si>
    <t>FREIGHTLINER/ CL120064ST</t>
  </si>
  <si>
    <t>SMRM tải (chở xe, máy chuyên dùng)</t>
  </si>
  <si>
    <t>Cầu sau/Cụm cầu sau</t>
  </si>
  <si>
    <t>G02</t>
  </si>
  <si>
    <t>SMRM tải (có mui)</t>
  </si>
  <si>
    <t>Tổng</t>
  </si>
  <si>
    <t>G0</t>
  </si>
  <si>
    <r>
      <t>SMRM xi téc (chở khí CO</t>
    </r>
    <r>
      <rPr>
        <b/>
        <vertAlign val="subscript"/>
        <sz val="11"/>
        <color indexed="8"/>
        <rFont val="Arial"/>
        <family val="2"/>
      </rPr>
      <t>2</t>
    </r>
    <r>
      <rPr>
        <b/>
        <sz val="11"/>
        <color indexed="8"/>
        <rFont val="Arial"/>
        <family val="2"/>
      </rPr>
      <t xml:space="preserve"> lỏng)</t>
    </r>
  </si>
  <si>
    <t>Khối lượng chuyên chở theo TK (kg)</t>
  </si>
  <si>
    <t>P</t>
  </si>
  <si>
    <t>4x4</t>
  </si>
  <si>
    <t>SMRM xi téc (chở khí ga hóa lỏng)</t>
  </si>
  <si>
    <t>Khối lượng toàn bộ theo TK (kg)</t>
  </si>
  <si>
    <t>G1</t>
  </si>
  <si>
    <t>KL toàn bộ theo TK phân bố lên 1 trục sau:</t>
  </si>
  <si>
    <t>6x2</t>
  </si>
  <si>
    <t>SMRM xi téc (chở nhiên liệu)</t>
  </si>
  <si>
    <t>G2</t>
  </si>
  <si>
    <t>SMRM xi téc (chở nhựa đường nóng lỏng)</t>
  </si>
  <si>
    <t>G</t>
  </si>
  <si>
    <t>Các giá trị của KL chuyên chở CPTGGT tính theo từng điều kiện</t>
  </si>
  <si>
    <t>6x6</t>
  </si>
  <si>
    <t>SMRM xi téc (chở ni tơ lỏng)</t>
  </si>
  <si>
    <t>Khối lượng chuyên chở CPTGGT (kg)</t>
  </si>
  <si>
    <t>P*</t>
  </si>
  <si>
    <t>8x4</t>
  </si>
  <si>
    <t>SMRM xi téc (chở nước)</t>
  </si>
  <si>
    <t>Khối lượng toàn bộ CPTGGT (kg)</t>
  </si>
  <si>
    <t>G1*</t>
  </si>
  <si>
    <t>căn cứ theo giá trị min giữa KL chuyên chở CPTGGT đặt lên mâm kéo của đầu kéo mẫu</t>
  </si>
  <si>
    <t>căn cứ theo giá trị min giữa tải trọng trục cho phép TGGT của cầu sau / cụm cầu sau của SMRM</t>
  </si>
  <si>
    <t>căn cứ theo giá trị min giữa tổng KL của đoàn xe CPTGGT</t>
  </si>
  <si>
    <t>KL chuyên chở CPTGGT là giá trị nhỏ nhất trong 3 giá trị bên</t>
  </si>
  <si>
    <t>min</t>
  </si>
  <si>
    <t>P+G2</t>
  </si>
  <si>
    <t>G1+Pn+T</t>
  </si>
  <si>
    <t>GCM*</t>
  </si>
  <si>
    <t>SMRM xi téc (chở ô xy lỏng)</t>
  </si>
  <si>
    <t>G2*</t>
  </si>
  <si>
    <t>SMRM xi téc (chở xăng)</t>
  </si>
  <si>
    <t>G*</t>
  </si>
  <si>
    <t>và KL toàn bộ theo TK phân bố lên kingpin của SMRM</t>
  </si>
  <si>
    <t>và KL toàn bộ theo TK phân bố lên cầu sau / cụm cầu sau của SMRM</t>
  </si>
  <si>
    <t>và tổng KL của đoàn xe theo thiết kế</t>
  </si>
  <si>
    <t>SMRM xi téc (chở xi măng rời)</t>
  </si>
  <si>
    <t xml:space="preserve">Tải trọng trục CPTGGT theo quy định đối với SMRM </t>
  </si>
  <si>
    <t>GAMF*</t>
  </si>
  <si>
    <t>SMRM xi téc (chở xi măng Amiăng rời)</t>
  </si>
  <si>
    <t>GAMR*</t>
  </si>
  <si>
    <t>Khối lượng toàn bộ CPTGGT tối đa của đoàn xe theo quy định</t>
  </si>
  <si>
    <t>Chiều dài cơ sở sau cải tạo</t>
  </si>
  <si>
    <r>
      <t>Chiều dài cơ sở Tính toán (</t>
    </r>
    <r>
      <rPr>
        <b/>
        <sz val="10"/>
        <color indexed="10"/>
        <rFont val="Arial"/>
        <family val="2"/>
      </rPr>
      <t>WB</t>
    </r>
    <r>
      <rPr>
        <sz val="10"/>
        <rFont val="Arial"/>
        <family val="2"/>
      </rPr>
      <t>)</t>
    </r>
  </si>
  <si>
    <r>
      <t>Khoảng cách từ tâm chốt kéo tới đầu SMRM (</t>
    </r>
    <r>
      <rPr>
        <b/>
        <sz val="10"/>
        <color indexed="10"/>
        <rFont val="Arial"/>
        <family val="2"/>
      </rPr>
      <t>FOH</t>
    </r>
    <r>
      <rPr>
        <sz val="10"/>
        <rFont val="Arial"/>
        <family val="2"/>
      </rPr>
      <t>)</t>
    </r>
  </si>
  <si>
    <r>
      <t xml:space="preserve">Nhập dữ liệu SMRM: </t>
    </r>
    <r>
      <rPr>
        <b/>
        <i/>
        <sz val="11"/>
        <color indexed="10"/>
        <rFont val="Arial"/>
        <family val="2"/>
      </rPr>
      <t>chú ý: dữ liệu được cập nhật tự động từ bảng tính toán cải tạo SMRM (chỉ cần chọn đầu kéo mẫu phù hợp ở bên dưới để Ktra lại)</t>
    </r>
  </si>
  <si>
    <t>5. Các thông số tính toán khác</t>
  </si>
  <si>
    <t>Chiều dài cơ sở điều chỉnh:</t>
  </si>
  <si>
    <t>Khối lượng bản thân SMRM (kg)</t>
  </si>
  <si>
    <t xml:space="preserve">Nhãn hiệu / Số loại </t>
  </si>
  <si>
    <t>Hướng dẫn đo các kích thước cần thiết</t>
  </si>
  <si>
    <r>
      <t xml:space="preserve">Hướng dẫn đo </t>
    </r>
    <r>
      <rPr>
        <b/>
        <sz val="12"/>
        <color indexed="10"/>
        <rFont val="Arial"/>
        <family val="2"/>
      </rPr>
      <t>OS</t>
    </r>
    <r>
      <rPr>
        <sz val="12"/>
        <color indexed="12"/>
        <rFont val="Arial"/>
        <family val="2"/>
      </rPr>
      <t xml:space="preserve"> và cân khối lượng phân bố lên cụm trục sau</t>
    </r>
  </si>
  <si>
    <t>Sơ mi rơ moóc tải (chở container)</t>
  </si>
  <si>
    <r>
      <rPr>
        <b/>
        <sz val="10"/>
        <rFont val="Arial"/>
        <family val="2"/>
      </rPr>
      <t>- Khi thực hiện phép đo OS đối với thùng hàng hoặc xi té</t>
    </r>
    <r>
      <rPr>
        <sz val="10"/>
        <rFont val="Arial"/>
        <family val="2"/>
      </rPr>
      <t xml:space="preserve">c. Đầu tiên chúng ta phải đo chiều dài toàn bộ của lòng thùng hàng hoặc xi téc (Chú ý: phần chở hàng là phần có thể xếp hàng hóa để chuyên chở, không tính các phần không thể xếp hàng), sau đó chia đôi để xác định vị trí trọng tâm L/2. Đánh dấu vị trí trọng tâm rồi tiến hành đo kích thước từ vị trí này tới vị trí tâm cụm trục sau).
</t>
    </r>
    <r>
      <rPr>
        <b/>
        <sz val="10"/>
        <rFont val="Arial"/>
        <family val="2"/>
      </rPr>
      <t>- Phương pháp xác định OS cho Trường hợp SMRM tải chở containe</t>
    </r>
    <r>
      <rPr>
        <sz val="10"/>
        <rFont val="Arial"/>
        <family val="2"/>
      </rPr>
      <t xml:space="preserve">r được thiết kế để chở nhiều loại container có kích thước khác nhau (20ft, 40ft, 45ft…):
Xác định OS cho trường hợp chở container lớn nhất theo thiết kế của SMRM. Trường hợp này chiều dài phần chở hàng L được xác định từ chốt khóa container đầu tiên tới chốt khóa cuối cùng 
</t>
    </r>
  </si>
  <si>
    <t>BẢNG TÍNH TOÁN CHI TIẾT KHỐI LƯỢNG CPTGGT CỦA SMRM</t>
  </si>
  <si>
    <r>
      <t xml:space="preserve">Khối lượng bản thân SMRM
</t>
    </r>
    <r>
      <rPr>
        <sz val="8"/>
        <color indexed="10"/>
        <rFont val="Tahoma"/>
        <family val="2"/>
      </rPr>
      <t>(tính toán phân bố lại sau khi thay đối WB)</t>
    </r>
  </si>
  <si>
    <t xml:space="preserve">OS = </t>
  </si>
  <si>
    <t>Bảng Thông số kỹ thuật</t>
  </si>
  <si>
    <t>Kích thước bao</t>
  </si>
  <si>
    <t>Khối lượng hàng chuyên chở theo TK</t>
  </si>
  <si>
    <t>Khối lượng hàng chuyên chở CPTGGT</t>
  </si>
  <si>
    <t>Khối lượng toàn bộ theo TK</t>
  </si>
  <si>
    <r>
      <t>Điều chỉnh chiều dài cơ sở (WB) và vị trí chốt kéo để có kết quả khối lượng hàng chuyên chở CPTGGT tối ưu nhất.</t>
    </r>
    <r>
      <rPr>
        <sz val="9"/>
        <color indexed="10"/>
        <rFont val="Arial"/>
        <family val="2"/>
      </rPr>
      <t xml:space="preserve"> Chỉ điều chỉnh vị trí chốt kéo trong trường hợp không thể tiếp tục kéo dài WB do hết chiều dài SMRM</t>
    </r>
  </si>
  <si>
    <t>Biển số:</t>
  </si>
  <si>
    <t>29H-XXXX</t>
  </si>
  <si>
    <t>Vết bánh xe sau</t>
  </si>
  <si>
    <t>Tổng KL cụm cầu sau:</t>
  </si>
  <si>
    <r>
      <t>Chiều dài cơ sở tính toán (</t>
    </r>
    <r>
      <rPr>
        <b/>
        <sz val="9"/>
        <color indexed="10"/>
        <rFont val="Tahoma"/>
        <family val="2"/>
      </rPr>
      <t>WB</t>
    </r>
    <r>
      <rPr>
        <sz val="9"/>
        <rFont val="Tahoma"/>
        <family val="2"/>
      </rPr>
      <t xml:space="preserve">) 
</t>
    </r>
    <r>
      <rPr>
        <sz val="9"/>
        <color indexed="10"/>
        <rFont val="Tahoma"/>
        <family val="2"/>
      </rPr>
      <t>xem hình mô tả</t>
    </r>
  </si>
  <si>
    <r>
      <t>Khối lượng toàn bộ theo</t>
    </r>
    <r>
      <rPr>
        <b/>
        <sz val="9"/>
        <color indexed="10"/>
        <rFont val="Tahoma"/>
        <family val="2"/>
      </rPr>
      <t xml:space="preserve"> Thiết kế</t>
    </r>
    <r>
      <rPr>
        <b/>
        <sz val="9"/>
        <rFont val="Tahoma"/>
        <family val="2"/>
      </rPr>
      <t xml:space="preserve"> của SMRM (kg)</t>
    </r>
  </si>
  <si>
    <r>
      <t xml:space="preserve"> - KL hàng chuyên chở CPTGGT</t>
    </r>
    <r>
      <rPr>
        <b/>
        <sz val="8"/>
        <color indexed="10"/>
        <rFont val="Tahoma"/>
        <family val="2"/>
      </rPr>
      <t xml:space="preserve"> (theo tính toán chi tiết)</t>
    </r>
  </si>
  <si>
    <r>
      <t xml:space="preserve"> - KL hàng chuyên chở CPTGGT</t>
    </r>
    <r>
      <rPr>
        <b/>
        <sz val="8"/>
        <rFont val="Tahoma"/>
        <family val="2"/>
      </rPr>
      <t xml:space="preserve"> (theo tính toán sơ bộ)</t>
    </r>
  </si>
  <si>
    <r>
      <t xml:space="preserve"> - Khối lượng toàn bộ CPTGGT </t>
    </r>
    <r>
      <rPr>
        <b/>
        <sz val="8"/>
        <rFont val="Tahoma"/>
        <family val="2"/>
      </rPr>
      <t>(theo tính toán sơ bộ)</t>
    </r>
  </si>
  <si>
    <r>
      <rPr>
        <b/>
        <sz val="8"/>
        <color indexed="12"/>
        <rFont val="Arial"/>
        <family val="2"/>
      </rPr>
      <t>* Chú ý:</t>
    </r>
    <r>
      <rPr>
        <sz val="8"/>
        <color indexed="12"/>
        <rFont val="Arial"/>
        <family val="2"/>
      </rPr>
      <t xml:space="preserve"> giá trị KL toàn bộ của SMRM phân bố lên chốt kéo không được lớn hơn Khối lương hàng chuyên chở của đầu kéo mẫu (khoảng: 13000 - 15200 kg)</t>
    </r>
  </si>
  <si>
    <t>Tính toán cả giới hạn khối lượng hàng chuyên chở CPTGGT của đầu kéo mẫu
(Thay đổi đầu kéo mẫu bên bảng tính toán KT chi tiết)</t>
  </si>
  <si>
    <t>Thông tin cảnh báo</t>
  </si>
  <si>
    <r>
      <t xml:space="preserve">Giới hạn chiều dài đuôi xe </t>
    </r>
    <r>
      <rPr>
        <b/>
        <sz val="10"/>
        <color indexed="12"/>
        <rFont val="Arial"/>
        <family val="2"/>
      </rPr>
      <t>ROH</t>
    </r>
    <r>
      <rPr>
        <sz val="10"/>
        <rFont val="Arial"/>
        <family val="2"/>
      </rPr>
      <t xml:space="preserve"> &lt; 60% chiều dài cơ sở</t>
    </r>
  </si>
  <si>
    <t>*Ghi chú: nếu không dán được ảnh vào bản thông số KT này, có thể đính kèm theo (và đóng dấu giáp lai)</t>
  </si>
  <si>
    <t>1. Thông số kỹ thuật Sơ mi rơ moóc nguyên thủy trước khi điều chỉnh</t>
  </si>
  <si>
    <t>2. Thông số KT cần điều chỉnh (chiều dài cơ sở tính toán WB và vị trí tâm chốt kéo)</t>
  </si>
  <si>
    <r>
      <t>3. Kết quả tính toán sau khi điều chỉnh</t>
    </r>
    <r>
      <rPr>
        <b/>
        <sz val="10"/>
        <rFont val="Arial"/>
        <family val="2"/>
      </rPr>
      <t xml:space="preserve">
</t>
    </r>
    <r>
      <rPr>
        <b/>
        <sz val="9"/>
        <color indexed="12"/>
        <rFont val="Arial"/>
        <family val="2"/>
      </rPr>
      <t>(chú ý giá trị dưới đây chưa làm tròn số - sau khi tính toán sơ bộ phù hợp, chuyển sang bảng "Tính toán kiểm tra chi tiết", lựa chọn đầu kéo mẫu phù hợp để có kết quả tính toán chi tiết)</t>
    </r>
  </si>
  <si>
    <t>4. TSKT Sơ mi rơ moóc sau khi điều chỉnh (vị trí chốt kéo, cụm trục)</t>
  </si>
  <si>
    <t>THÔNG SỐ KỸ THUẬT SMRM SAU KHI ĐiỀU CHỈNH (chốt kéo và/hoặc cụm trục)</t>
  </si>
  <si>
    <t>BẢNG TÍNH TOÁN SƠ BỘ SỬ DỤNG CHO TÍNH TOÁN ĐiỀU CHỈNH VỊ TRÍ CHỐT KÉO, CỤM TRỤC SƠ MI RƠ MOÓC</t>
  </si>
  <si>
    <t>Đơn vị thi công:</t>
  </si>
  <si>
    <r>
      <t xml:space="preserve">Khoảng cách từ trọng tâm (của khối lượng </t>
    </r>
    <r>
      <rPr>
        <b/>
        <sz val="10"/>
        <color indexed="10"/>
        <rFont val="Arial"/>
        <family val="2"/>
      </rPr>
      <t>G0SM1</t>
    </r>
    <r>
      <rPr>
        <sz val="10"/>
        <rFont val="Arial"/>
        <family val="2"/>
      </rPr>
      <t xml:space="preserve">) tới cầu sau  </t>
    </r>
    <r>
      <rPr>
        <b/>
        <sz val="10"/>
        <color indexed="10"/>
        <rFont val="Arial"/>
        <family val="2"/>
      </rPr>
      <t>OSsm</t>
    </r>
    <r>
      <rPr>
        <sz val="10"/>
        <rFont val="Arial"/>
        <family val="2"/>
      </rPr>
      <t xml:space="preserve"> 
(nguyên thủy trước điều chỉnh) -</t>
    </r>
    <r>
      <rPr>
        <i/>
        <sz val="10"/>
        <rFont val="Arial"/>
        <family val="2"/>
      </rPr>
      <t xml:space="preserve"> sử dụng để tính lại phân bố khối lượng bản thân</t>
    </r>
  </si>
  <si>
    <r>
      <t>Khoảng cách từ trục sau cùng tới đuôi SMRM (</t>
    </r>
    <r>
      <rPr>
        <b/>
        <sz val="9"/>
        <color indexed="10"/>
        <rFont val="Tahoma"/>
        <family val="2"/>
      </rPr>
      <t>ROHđ</t>
    </r>
    <r>
      <rPr>
        <b/>
        <sz val="9"/>
        <rFont val="Tahoma"/>
        <family val="2"/>
      </rPr>
      <t>)</t>
    </r>
  </si>
  <si>
    <r>
      <t>GT Tham khảo: 
(</t>
    </r>
    <r>
      <rPr>
        <b/>
        <sz val="8"/>
        <color indexed="10"/>
        <rFont val="Arial"/>
        <family val="2"/>
      </rPr>
      <t>9000 - 10000</t>
    </r>
    <r>
      <rPr>
        <sz val="8"/>
        <color indexed="56"/>
        <rFont val="Arial"/>
        <family val="2"/>
      </rPr>
      <t>)</t>
    </r>
  </si>
  <si>
    <r>
      <t>GT Tham khảo: 
(</t>
    </r>
    <r>
      <rPr>
        <b/>
        <sz val="8"/>
        <color indexed="10"/>
        <rFont val="Arial"/>
        <family val="2"/>
      </rPr>
      <t>900 - 1200</t>
    </r>
    <r>
      <rPr>
        <sz val="8"/>
        <color indexed="56"/>
        <rFont val="Arial"/>
        <family val="2"/>
      </rPr>
      <t>)</t>
    </r>
  </si>
  <si>
    <r>
      <t xml:space="preserve">Khối lượng của </t>
    </r>
    <r>
      <rPr>
        <b/>
        <sz val="9"/>
        <color indexed="10"/>
        <rFont val="Tahoma"/>
        <family val="2"/>
      </rPr>
      <t>01</t>
    </r>
    <r>
      <rPr>
        <b/>
        <sz val="9"/>
        <rFont val="Tahoma"/>
        <family val="2"/>
      </rPr>
      <t xml:space="preserve"> trục (cầu sau) SMRM
</t>
    </r>
    <r>
      <rPr>
        <sz val="8"/>
        <rFont val="Tahoma"/>
        <family val="2"/>
      </rPr>
      <t xml:space="preserve">(sử dụng để tính toán phân bố khối lượng bản thân sau khi cải tạo)
</t>
    </r>
    <r>
      <rPr>
        <sz val="8"/>
        <color indexed="10"/>
        <rFont val="Tahoma"/>
        <family val="2"/>
      </rPr>
      <t xml:space="preserve">nếu không có thông số thì giữ nguyên giá trị tương đối như bên dưới là: </t>
    </r>
    <r>
      <rPr>
        <b/>
        <sz val="8"/>
        <color indexed="10"/>
        <rFont val="Tahoma"/>
        <family val="2"/>
      </rPr>
      <t>500 - 160 - 400</t>
    </r>
    <r>
      <rPr>
        <sz val="8"/>
        <color indexed="10"/>
        <rFont val="Tahoma"/>
        <family val="2"/>
      </rPr>
      <t xml:space="preserve"> kg</t>
    </r>
  </si>
  <si>
    <r>
      <t xml:space="preserve">Khoảng cách từ trọng tâm (của khối lượng </t>
    </r>
    <r>
      <rPr>
        <sz val="10"/>
        <color indexed="10"/>
        <rFont val="Arial"/>
        <family val="2"/>
      </rPr>
      <t>G0SM1</t>
    </r>
    <r>
      <rPr>
        <sz val="10"/>
        <rFont val="Arial"/>
        <family val="2"/>
      </rPr>
      <t xml:space="preserve">) tới cầu sau  </t>
    </r>
    <r>
      <rPr>
        <sz val="10"/>
        <color indexed="10"/>
        <rFont val="Arial"/>
        <family val="2"/>
      </rPr>
      <t xml:space="preserve">OSsm2 </t>
    </r>
    <r>
      <rPr>
        <sz val="10"/>
        <rFont val="Arial"/>
        <family val="2"/>
      </rPr>
      <t xml:space="preserve">
(Sau điều chỉnh) - sử dụng để tính lại phân bố khối lượng bản thân</t>
    </r>
  </si>
  <si>
    <r>
      <t>Dán ảnh chụp thực tế SMRM sau điều chỉnh
(</t>
    </r>
    <r>
      <rPr>
        <b/>
        <sz val="8"/>
        <color indexed="10"/>
        <rFont val="Arial"/>
        <family val="2"/>
      </rPr>
      <t>Ảnh chụp ở trạng thái không tải)</t>
    </r>
  </si>
  <si>
    <r>
      <t xml:space="preserve">Dán ảnh chụp thực tế SMRM sau điều chỉnh
</t>
    </r>
    <r>
      <rPr>
        <b/>
        <sz val="8"/>
        <color indexed="10"/>
        <rFont val="Arial"/>
        <family val="2"/>
      </rPr>
      <t>(Ảnh chụp ở trạng thái Thử tải)</t>
    </r>
  </si>
  <si>
    <r>
      <t>Khoảng cách giữa hai trục liền kề (</t>
    </r>
    <r>
      <rPr>
        <b/>
        <sz val="10"/>
        <color indexed="10"/>
        <rFont val="Arial"/>
        <family val="2"/>
      </rPr>
      <t>d</t>
    </r>
    <r>
      <rPr>
        <sz val="10"/>
        <rFont val="Arial"/>
        <family val="2"/>
      </rPr>
      <t>)</t>
    </r>
  </si>
  <si>
    <r>
      <t>GT Tham khảo: 
(</t>
    </r>
    <r>
      <rPr>
        <b/>
        <sz val="8"/>
        <color indexed="10"/>
        <rFont val="Arial"/>
        <family val="2"/>
      </rPr>
      <t>1310</t>
    </r>
    <r>
      <rPr>
        <sz val="8"/>
        <color indexed="56"/>
        <rFont val="Arial"/>
        <family val="2"/>
      </rPr>
      <t>)</t>
    </r>
  </si>
  <si>
    <t xml:space="preserve">      chú ý: không sử dụng cụm 03 trục có d&lt;1310</t>
  </si>
  <si>
    <t>Kích thước phần nhô (đầu và đuôi SMRM)</t>
  </si>
  <si>
    <r>
      <t>Phần Nhô đầu SMRM (</t>
    </r>
    <r>
      <rPr>
        <b/>
        <sz val="9"/>
        <color indexed="10"/>
        <rFont val="Tahoma"/>
        <family val="2"/>
      </rPr>
      <t>Fnt</t>
    </r>
    <r>
      <rPr>
        <sz val="9"/>
        <rFont val="Tahoma"/>
        <family val="2"/>
      </rPr>
      <t>)</t>
    </r>
  </si>
  <si>
    <r>
      <t>Phần Nhô đầu SMRM (</t>
    </r>
    <r>
      <rPr>
        <b/>
        <sz val="9"/>
        <color indexed="10"/>
        <rFont val="Tahoma"/>
        <family val="2"/>
      </rPr>
      <t>Fns</t>
    </r>
    <r>
      <rPr>
        <sz val="9"/>
        <rFont val="Tahoma"/>
        <family val="2"/>
      </rPr>
      <t>)</t>
    </r>
  </si>
  <si>
    <r>
      <t>Khoảng cách từ tâm chốt khóa container đầu tiên tới tâm chốt khóa container cuối cùng của SMRM
(</t>
    </r>
    <r>
      <rPr>
        <b/>
        <sz val="9"/>
        <color indexed="10"/>
        <rFont val="Tahoma"/>
        <family val="2"/>
      </rPr>
      <t>Lsm</t>
    </r>
    <r>
      <rPr>
        <sz val="9"/>
        <rFont val="Tahoma"/>
        <family val="2"/>
      </rPr>
      <t>)</t>
    </r>
  </si>
  <si>
    <r>
      <t>Khoảng cách từ tâm chốt kéo tới tâm chốt khóa container đầu tiên của SMRM (</t>
    </r>
    <r>
      <rPr>
        <b/>
        <sz val="9"/>
        <color indexed="10"/>
        <rFont val="Tahoma"/>
        <family val="2"/>
      </rPr>
      <t>FOH</t>
    </r>
    <r>
      <rPr>
        <sz val="9"/>
        <rFont val="Tahoma"/>
        <family val="2"/>
      </rPr>
      <t>)</t>
    </r>
  </si>
  <si>
    <t>Ver 2.0 ngày 02/10/2014</t>
  </si>
  <si>
    <r>
      <t xml:space="preserve">Thông số kích thước của SMRM (mm)
</t>
    </r>
    <r>
      <rPr>
        <b/>
        <sz val="10"/>
        <color indexed="10"/>
        <rFont val="Arial"/>
        <family val="2"/>
      </rPr>
      <t>(</t>
    </r>
    <r>
      <rPr>
        <i/>
        <sz val="10"/>
        <color indexed="10"/>
        <rFont val="Arial"/>
        <family val="2"/>
      </rPr>
      <t>chú ý kích thước này không tính phần nhô đầu và đuôi SMRM - Tính theo tâm chốt khóa container</t>
    </r>
    <r>
      <rPr>
        <b/>
        <sz val="10"/>
        <color indexed="10"/>
        <rFont val="Arial"/>
        <family val="2"/>
      </rPr>
      <t>)</t>
    </r>
  </si>
  <si>
    <t>ABC</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</si>
</sst>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0.0"/>
    <numFmt numFmtId="174" formatCode="0.000"/>
    <numFmt numFmtId="175" formatCode="0.00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1010409]d/m/yyyy\ h:mm\ AM/PM;@"/>
    <numFmt numFmtId="182" formatCode="#,##0.0"/>
  </numFmts>
  <fonts count="175">
    <font>
      <sz val="10"/>
      <name val="Arial"/>
      <family val="0"/>
    </font>
    <font>
      <b/>
      <sz val="10"/>
      <color indexed="10"/>
      <name val="Arial"/>
      <family val="2"/>
    </font>
    <font>
      <u val="single"/>
      <sz val="10"/>
      <color indexed="12"/>
      <name val="Arial"/>
      <family val="2"/>
    </font>
    <font>
      <u val="single"/>
      <sz val="10"/>
      <color indexed="36"/>
      <name val="Arial"/>
      <family val="2"/>
    </font>
    <font>
      <sz val="14"/>
      <name val="Tahoma"/>
      <family val="2"/>
    </font>
    <font>
      <sz val="10"/>
      <name val="Tahoma"/>
      <family val="2"/>
    </font>
    <font>
      <sz val="13"/>
      <name val="Tahoma"/>
      <family val="2"/>
    </font>
    <font>
      <b/>
      <sz val="10"/>
      <name val="Tahoma"/>
      <family val="2"/>
    </font>
    <font>
      <b/>
      <sz val="10"/>
      <color indexed="12"/>
      <name val="Tahoma"/>
      <family val="2"/>
    </font>
    <font>
      <b/>
      <sz val="12"/>
      <name val="Tahoma"/>
      <family val="2"/>
    </font>
    <font>
      <sz val="9"/>
      <name val="Tahoma"/>
      <family val="2"/>
    </font>
    <font>
      <b/>
      <sz val="10"/>
      <name val="Arial"/>
      <family val="2"/>
    </font>
    <font>
      <b/>
      <sz val="8"/>
      <color indexed="10"/>
      <name val="Tahoma"/>
      <family val="2"/>
    </font>
    <font>
      <b/>
      <sz val="10"/>
      <color indexed="12"/>
      <name val="Arial"/>
      <family val="2"/>
    </font>
    <font>
      <i/>
      <sz val="11"/>
      <color indexed="10"/>
      <name val="Arial"/>
      <family val="2"/>
    </font>
    <font>
      <b/>
      <sz val="12"/>
      <name val="Arial"/>
      <family val="2"/>
    </font>
    <font>
      <b/>
      <sz val="9"/>
      <name val="Tahoma"/>
      <family val="2"/>
    </font>
    <font>
      <b/>
      <sz val="12"/>
      <color indexed="12"/>
      <name val="Arial"/>
      <family val="2"/>
    </font>
    <font>
      <sz val="9"/>
      <color indexed="10"/>
      <name val="Tahoma"/>
      <family val="2"/>
    </font>
    <font>
      <b/>
      <sz val="9"/>
      <color indexed="10"/>
      <name val="Tahoma"/>
      <family val="2"/>
    </font>
    <font>
      <sz val="14"/>
      <name val="Arial"/>
      <family val="2"/>
    </font>
    <font>
      <sz val="10"/>
      <color indexed="10"/>
      <name val="Arial"/>
      <family val="2"/>
    </font>
    <font>
      <b/>
      <sz val="11"/>
      <name val="Tahoma"/>
      <family val="2"/>
    </font>
    <font>
      <sz val="11"/>
      <name val="Tahoma"/>
      <family val="2"/>
    </font>
    <font>
      <i/>
      <sz val="10"/>
      <name val="Arial"/>
      <family val="2"/>
    </font>
    <font>
      <sz val="8"/>
      <name val="Arial"/>
      <family val="2"/>
    </font>
    <font>
      <sz val="8"/>
      <color indexed="10"/>
      <name val="Tahoma"/>
      <family val="2"/>
    </font>
    <font>
      <b/>
      <sz val="11"/>
      <color indexed="10"/>
      <name val="Arial"/>
      <family val="2"/>
    </font>
    <font>
      <b/>
      <sz val="12"/>
      <color indexed="10"/>
      <name val="Arial"/>
      <family val="2"/>
    </font>
    <font>
      <b/>
      <sz val="9"/>
      <color indexed="12"/>
      <name val="Arial"/>
      <family val="2"/>
    </font>
    <font>
      <b/>
      <sz val="11"/>
      <color indexed="12"/>
      <name val="Arial"/>
      <family val="2"/>
    </font>
    <font>
      <sz val="8"/>
      <name val="Tahoma"/>
      <family val="2"/>
    </font>
    <font>
      <i/>
      <sz val="8"/>
      <name val="Arial"/>
      <family val="2"/>
    </font>
    <font>
      <b/>
      <sz val="16"/>
      <color indexed="12"/>
      <name val="Arial"/>
      <family val="2"/>
    </font>
    <font>
      <b/>
      <sz val="13"/>
      <color indexed="10"/>
      <name val="Arial"/>
      <family val="2"/>
    </font>
    <font>
      <sz val="9"/>
      <color indexed="57"/>
      <name val="Arial"/>
      <family val="2"/>
    </font>
    <font>
      <b/>
      <sz val="13"/>
      <color indexed="12"/>
      <name val="Arial"/>
      <family val="2"/>
    </font>
    <font>
      <sz val="12"/>
      <color indexed="12"/>
      <name val="Arial"/>
      <family val="2"/>
    </font>
    <font>
      <sz val="12"/>
      <color indexed="8"/>
      <name val="Arial"/>
      <family val="2"/>
    </font>
    <font>
      <b/>
      <sz val="10"/>
      <color indexed="8"/>
      <name val="Arial"/>
      <family val="2"/>
    </font>
    <font>
      <sz val="10"/>
      <color indexed="12"/>
      <name val="Arial"/>
      <family val="2"/>
    </font>
    <font>
      <sz val="10"/>
      <color indexed="8"/>
      <name val="Arial"/>
      <family val="2"/>
    </font>
    <font>
      <b/>
      <i/>
      <sz val="11"/>
      <color indexed="21"/>
      <name val="Arial"/>
      <family val="2"/>
    </font>
    <font>
      <b/>
      <i/>
      <sz val="11"/>
      <color indexed="10"/>
      <name val="Arial"/>
      <family val="2"/>
    </font>
    <font>
      <b/>
      <i/>
      <sz val="12"/>
      <color indexed="21"/>
      <name val="Arial"/>
      <family val="2"/>
    </font>
    <font>
      <sz val="9"/>
      <color indexed="8"/>
      <name val="Arial"/>
      <family val="2"/>
    </font>
    <font>
      <b/>
      <sz val="9"/>
      <color indexed="8"/>
      <name val="Arial"/>
      <family val="2"/>
    </font>
    <font>
      <sz val="9"/>
      <name val="Arial"/>
      <family val="2"/>
    </font>
    <font>
      <sz val="9"/>
      <color indexed="12"/>
      <name val="Arial"/>
      <family val="2"/>
    </font>
    <font>
      <i/>
      <sz val="8"/>
      <color indexed="12"/>
      <name val="Arial"/>
      <family val="2"/>
    </font>
    <font>
      <sz val="11"/>
      <name val="Arial"/>
      <family val="2"/>
    </font>
    <font>
      <b/>
      <sz val="11"/>
      <name val="Arial"/>
      <family val="2"/>
    </font>
    <font>
      <sz val="12"/>
      <color indexed="21"/>
      <name val="Arial"/>
      <family val="2"/>
    </font>
    <font>
      <sz val="8"/>
      <color indexed="12"/>
      <name val="Arial"/>
      <family val="2"/>
    </font>
    <font>
      <sz val="11"/>
      <color indexed="12"/>
      <name val="Arial"/>
      <family val="2"/>
    </font>
    <font>
      <sz val="11"/>
      <color indexed="8"/>
      <name val="Arial"/>
      <family val="2"/>
    </font>
    <font>
      <b/>
      <i/>
      <sz val="11"/>
      <color indexed="13"/>
      <name val="Arial"/>
      <family val="2"/>
    </font>
    <font>
      <b/>
      <i/>
      <sz val="10"/>
      <color indexed="57"/>
      <name val="Arial"/>
      <family val="2"/>
    </font>
    <font>
      <b/>
      <i/>
      <sz val="11"/>
      <color indexed="12"/>
      <name val="Arial"/>
      <family val="2"/>
    </font>
    <font>
      <i/>
      <sz val="11"/>
      <color indexed="12"/>
      <name val="Arial"/>
      <family val="2"/>
    </font>
    <font>
      <b/>
      <sz val="10"/>
      <color indexed="17"/>
      <name val="Arial"/>
      <family val="2"/>
    </font>
    <font>
      <i/>
      <sz val="8"/>
      <color indexed="10"/>
      <name val="Arial"/>
      <family val="2"/>
    </font>
    <font>
      <sz val="8"/>
      <color indexed="57"/>
      <name val="Arial"/>
      <family val="2"/>
    </font>
    <font>
      <sz val="11"/>
      <color indexed="21"/>
      <name val="Arial"/>
      <family val="2"/>
    </font>
    <font>
      <b/>
      <i/>
      <sz val="9"/>
      <color indexed="12"/>
      <name val="Arial"/>
      <family val="2"/>
    </font>
    <font>
      <i/>
      <sz val="8"/>
      <color indexed="21"/>
      <name val="Arial"/>
      <family val="2"/>
    </font>
    <font>
      <b/>
      <i/>
      <sz val="12"/>
      <color indexed="12"/>
      <name val="Arial"/>
      <family val="2"/>
    </font>
    <font>
      <i/>
      <sz val="9"/>
      <color indexed="8"/>
      <name val="Arial"/>
      <family val="2"/>
    </font>
    <font>
      <i/>
      <u val="single"/>
      <sz val="9"/>
      <color indexed="21"/>
      <name val="Arial"/>
      <family val="2"/>
    </font>
    <font>
      <b/>
      <i/>
      <u val="single"/>
      <sz val="9"/>
      <color indexed="10"/>
      <name val="Arial"/>
      <family val="2"/>
    </font>
    <font>
      <b/>
      <i/>
      <u val="single"/>
      <sz val="9"/>
      <color indexed="12"/>
      <name val="Arial"/>
      <family val="2"/>
    </font>
    <font>
      <i/>
      <u val="single"/>
      <sz val="9"/>
      <color indexed="12"/>
      <name val="Arial"/>
      <family val="2"/>
    </font>
    <font>
      <i/>
      <u val="single"/>
      <sz val="9"/>
      <color indexed="8"/>
      <name val="Arial"/>
      <family val="2"/>
    </font>
    <font>
      <i/>
      <sz val="9"/>
      <color indexed="10"/>
      <name val="Arial"/>
      <family val="2"/>
    </font>
    <font>
      <b/>
      <sz val="11"/>
      <color indexed="21"/>
      <name val="Arial"/>
      <family val="2"/>
    </font>
    <font>
      <sz val="10"/>
      <color indexed="30"/>
      <name val="Arial"/>
      <family val="2"/>
    </font>
    <font>
      <b/>
      <sz val="10"/>
      <color indexed="30"/>
      <name val="Arial"/>
      <family val="2"/>
    </font>
    <font>
      <sz val="12"/>
      <color indexed="30"/>
      <name val="Arial"/>
      <family val="2"/>
    </font>
    <font>
      <sz val="10"/>
      <color indexed="60"/>
      <name val="Arial"/>
      <family val="2"/>
    </font>
    <font>
      <i/>
      <sz val="9"/>
      <color indexed="14"/>
      <name val="Arial"/>
      <family val="2"/>
    </font>
    <font>
      <sz val="11"/>
      <color indexed="10"/>
      <name val="Arial"/>
      <family val="2"/>
    </font>
    <font>
      <b/>
      <sz val="11"/>
      <color indexed="8"/>
      <name val="Arial"/>
      <family val="2"/>
    </font>
    <font>
      <i/>
      <sz val="10"/>
      <color indexed="12"/>
      <name val="Arial"/>
      <family val="2"/>
    </font>
    <font>
      <b/>
      <i/>
      <sz val="10"/>
      <color indexed="12"/>
      <name val="Arial"/>
      <family val="2"/>
    </font>
    <font>
      <b/>
      <sz val="9"/>
      <color indexed="10"/>
      <name val="Arial"/>
      <family val="2"/>
    </font>
    <font>
      <b/>
      <vertAlign val="subscript"/>
      <sz val="11"/>
      <color indexed="8"/>
      <name val="Arial"/>
      <family val="2"/>
    </font>
    <font>
      <i/>
      <sz val="8"/>
      <color indexed="56"/>
      <name val="Arial"/>
      <family val="2"/>
    </font>
    <font>
      <i/>
      <sz val="8"/>
      <color indexed="14"/>
      <name val="Arial"/>
      <family val="2"/>
    </font>
    <font>
      <b/>
      <i/>
      <sz val="9"/>
      <color indexed="10"/>
      <name val="Arial"/>
      <family val="2"/>
    </font>
    <font>
      <sz val="10"/>
      <color indexed="61"/>
      <name val="Arial"/>
      <family val="2"/>
    </font>
    <font>
      <b/>
      <sz val="12"/>
      <color indexed="8"/>
      <name val="Arial"/>
      <family val="2"/>
    </font>
    <font>
      <i/>
      <sz val="10"/>
      <color indexed="8"/>
      <name val="Arial"/>
      <family val="2"/>
    </font>
    <font>
      <i/>
      <sz val="12"/>
      <color indexed="8"/>
      <name val="Arial"/>
      <family val="2"/>
    </font>
    <font>
      <sz val="8"/>
      <color indexed="8"/>
      <name val="Arial"/>
      <family val="2"/>
    </font>
    <font>
      <sz val="8"/>
      <color indexed="56"/>
      <name val="Arial"/>
      <family val="2"/>
    </font>
    <font>
      <b/>
      <sz val="8"/>
      <color indexed="10"/>
      <name val="Arial"/>
      <family val="2"/>
    </font>
    <font>
      <b/>
      <sz val="14"/>
      <name val="Arial"/>
      <family val="2"/>
    </font>
    <font>
      <sz val="12"/>
      <name val="Arial"/>
      <family val="2"/>
    </font>
    <font>
      <b/>
      <sz val="9"/>
      <name val="Arial"/>
      <family val="2"/>
    </font>
    <font>
      <sz val="9"/>
      <color indexed="10"/>
      <name val="Arial"/>
      <family val="2"/>
    </font>
    <font>
      <b/>
      <sz val="8"/>
      <name val="Tahoma"/>
      <family val="2"/>
    </font>
    <font>
      <b/>
      <sz val="8"/>
      <color indexed="12"/>
      <name val="Arial"/>
      <family val="2"/>
    </font>
    <font>
      <i/>
      <sz val="10"/>
      <color indexed="10"/>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0"/>
      <color indexed="60"/>
      <name val="Arial"/>
      <family val="2"/>
    </font>
    <font>
      <sz val="11"/>
      <color indexed="56"/>
      <name val="Arial"/>
      <family val="2"/>
    </font>
    <font>
      <sz val="8"/>
      <color indexed="10"/>
      <name val="Arial"/>
      <family val="2"/>
    </font>
    <font>
      <sz val="8"/>
      <color indexed="63"/>
      <name val="Arial"/>
      <family val="2"/>
    </font>
    <font>
      <b/>
      <sz val="11"/>
      <color indexed="10"/>
      <name val="Tahoma"/>
      <family val="2"/>
    </font>
    <font>
      <sz val="11"/>
      <color indexed="56"/>
      <name val="Tahoma"/>
      <family val="2"/>
    </font>
    <font>
      <b/>
      <sz val="12"/>
      <color indexed="10"/>
      <name val="Times New Roman"/>
      <family val="0"/>
    </font>
    <font>
      <sz val="10"/>
      <color indexed="8"/>
      <name val="Times New Roman"/>
      <family val="0"/>
    </font>
    <font>
      <b/>
      <sz val="9"/>
      <color indexed="10"/>
      <name val="Times New Roman"/>
      <family val="0"/>
    </font>
    <font>
      <sz val="11"/>
      <color indexed="8"/>
      <name val="Calibri"/>
      <family val="0"/>
    </font>
    <font>
      <sz val="11"/>
      <color indexed="8"/>
      <name val="Times New Roman"/>
      <family val="0"/>
    </font>
    <font>
      <sz val="11"/>
      <color indexed="10"/>
      <name val="Calibri"/>
      <family val="0"/>
    </font>
    <font>
      <sz val="11"/>
      <color indexed="10"/>
      <name val="Times New Roman"/>
      <family val="0"/>
    </font>
    <font>
      <b/>
      <sz val="10.5"/>
      <color indexed="10"/>
      <name val="Calibri"/>
      <family val="0"/>
    </font>
    <font>
      <b/>
      <sz val="10.5"/>
      <color indexed="10"/>
      <name val="Times New Roman"/>
      <family val="0"/>
    </font>
    <font>
      <b/>
      <sz val="10"/>
      <color indexed="10"/>
      <name val="Calibri"/>
      <family val="0"/>
    </font>
    <font>
      <b/>
      <sz val="10"/>
      <color indexed="8"/>
      <name val="Calibri"/>
      <family val="0"/>
    </font>
    <font>
      <sz val="10"/>
      <color indexed="8"/>
      <name val="Calibri"/>
      <family val="0"/>
    </font>
    <font>
      <i/>
      <sz val="9"/>
      <color indexed="12"/>
      <name val="Arial"/>
      <family val="0"/>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0"/>
      <color rgb="FFC00000"/>
      <name val="Arial"/>
      <family val="2"/>
    </font>
    <font>
      <sz val="11"/>
      <color theme="3"/>
      <name val="Arial"/>
      <family val="2"/>
    </font>
    <font>
      <b/>
      <sz val="10"/>
      <color rgb="FFFF0000"/>
      <name val="Arial"/>
      <family val="2"/>
    </font>
    <font>
      <sz val="8"/>
      <color theme="3"/>
      <name val="Arial"/>
      <family val="2"/>
    </font>
    <font>
      <b/>
      <sz val="12"/>
      <color rgb="FFFF0000"/>
      <name val="Arial"/>
      <family val="2"/>
    </font>
    <font>
      <sz val="8"/>
      <color rgb="FF0000FF"/>
      <name val="Arial"/>
      <family val="2"/>
    </font>
    <font>
      <b/>
      <sz val="11"/>
      <color rgb="FF0000FF"/>
      <name val="Arial"/>
      <family val="2"/>
    </font>
    <font>
      <sz val="12"/>
      <color rgb="FF0000FF"/>
      <name val="Arial"/>
      <family val="2"/>
    </font>
    <font>
      <sz val="10"/>
      <color rgb="FFFF0000"/>
      <name val="Arial"/>
      <family val="2"/>
    </font>
    <font>
      <sz val="8"/>
      <color rgb="FFFF0000"/>
      <name val="Arial"/>
      <family val="2"/>
    </font>
    <font>
      <sz val="8"/>
      <color theme="1" tint="0.15000000596046448"/>
      <name val="Arial"/>
      <family val="2"/>
    </font>
    <font>
      <b/>
      <sz val="11"/>
      <color rgb="FFFF0000"/>
      <name val="Arial"/>
      <family val="2"/>
    </font>
    <font>
      <sz val="9"/>
      <color rgb="FF0000FF"/>
      <name val="Arial"/>
      <family val="2"/>
    </font>
    <font>
      <b/>
      <sz val="8"/>
      <color rgb="FFFF0000"/>
      <name val="Arial"/>
      <family val="2"/>
    </font>
    <font>
      <sz val="11"/>
      <color theme="3"/>
      <name val="Tahoma"/>
      <family val="2"/>
    </font>
    <font>
      <b/>
      <sz val="11"/>
      <color rgb="FFFF0000"/>
      <name val="Tahoma"/>
      <family val="2"/>
    </font>
    <font>
      <sz val="9"/>
      <color rgb="FFFF0000"/>
      <name val="Arial"/>
      <family val="2"/>
    </font>
    <font>
      <b/>
      <sz val="9"/>
      <color rgb="FFFF0000"/>
      <name val="Arial"/>
      <family val="2"/>
    </font>
    <font>
      <b/>
      <sz val="8"/>
      <name val="Arial"/>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3" tint="0.7999799847602844"/>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theme="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theme="2" tint="-0.0999699980020523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4" tint="0.7999799847602844"/>
        <bgColor indexed="64"/>
      </patternFill>
    </fill>
    <fill>
      <patternFill patternType="solid">
        <fgColor rgb="FF92D050"/>
        <bgColor indexed="64"/>
      </patternFill>
    </fill>
    <fill>
      <patternFill patternType="solid">
        <fgColor theme="6" tint="0.39998000860214233"/>
        <bgColor indexed="64"/>
      </patternFill>
    </fill>
    <fill>
      <patternFill patternType="solid">
        <fgColor theme="0" tint="-0.3499799966812134"/>
        <bgColor indexed="64"/>
      </patternFill>
    </fill>
    <fill>
      <patternFill patternType="solid">
        <fgColor indexed="12"/>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double"/>
      <right style="double">
        <color indexed="12"/>
      </right>
      <top style="double">
        <color indexed="12"/>
      </top>
      <bottom style="thin">
        <color indexed="12"/>
      </bottom>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style="thin"/>
      <right style="double"/>
      <top style="thin"/>
      <bottom style="thin"/>
    </border>
    <border>
      <left style="double"/>
      <right style="double">
        <color indexed="12"/>
      </right>
      <top style="thin">
        <color indexed="12"/>
      </top>
      <bottom style="thin">
        <color indexed="12"/>
      </bottom>
    </border>
    <border>
      <left style="double"/>
      <right>
        <color indexed="63"/>
      </right>
      <top style="thin"/>
      <bottom style="double"/>
    </border>
    <border>
      <left style="thin"/>
      <right style="thin"/>
      <top style="thin"/>
      <bottom style="double"/>
    </border>
    <border>
      <left style="thin"/>
      <right>
        <color indexed="63"/>
      </right>
      <top style="thin"/>
      <bottom style="double"/>
    </border>
    <border>
      <left style="thin"/>
      <right style="double"/>
      <top style="thin"/>
      <bottom style="double"/>
    </border>
    <border>
      <left style="double"/>
      <right style="double">
        <color indexed="12"/>
      </right>
      <top style="thin">
        <color indexed="12"/>
      </top>
      <bottom style="double">
        <color indexed="12"/>
      </bottom>
    </border>
    <border>
      <left style="double"/>
      <right style="thin"/>
      <top style="double"/>
      <bottom>
        <color indexed="63"/>
      </bottom>
    </border>
    <border>
      <left style="double"/>
      <right style="thin"/>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style="double"/>
      <top style="thin"/>
      <bottom style="thin"/>
    </border>
    <border>
      <left style="double"/>
      <right>
        <color indexed="63"/>
      </right>
      <top>
        <color indexed="63"/>
      </top>
      <bottom>
        <color indexed="63"/>
      </bottom>
    </border>
    <border>
      <left style="thin"/>
      <right style="thin"/>
      <top>
        <color indexed="63"/>
      </top>
      <bottom>
        <color indexed="63"/>
      </bottom>
    </border>
    <border>
      <left style="thin"/>
      <right style="double"/>
      <top>
        <color indexed="63"/>
      </top>
      <bottom style="thin"/>
    </border>
    <border>
      <left style="thin"/>
      <right style="thin"/>
      <top style="thin"/>
      <bottom style="hair"/>
    </border>
    <border>
      <left style="thin"/>
      <right style="double"/>
      <top style="thin"/>
      <bottom style="hair"/>
    </border>
    <border>
      <left style="double"/>
      <right style="double"/>
      <top style="double"/>
      <bottom style="thin"/>
    </border>
    <border>
      <left style="thin"/>
      <right style="thin"/>
      <top style="hair"/>
      <bottom style="hair"/>
    </border>
    <border>
      <left style="thin"/>
      <right style="double"/>
      <top style="hair"/>
      <bottom style="hair"/>
    </border>
    <border>
      <left style="double"/>
      <right style="double"/>
      <top style="thin"/>
      <bottom style="double"/>
    </border>
    <border>
      <left style="thin"/>
      <right style="thin"/>
      <top style="hair"/>
      <bottom style="thin"/>
    </border>
    <border>
      <left style="thin"/>
      <right style="double"/>
      <top style="hair"/>
      <bottom style="thin"/>
    </border>
    <border>
      <left style="thin"/>
      <right style="thin"/>
      <top>
        <color indexed="63"/>
      </top>
      <bottom style="hair"/>
    </border>
    <border>
      <left style="thin"/>
      <right style="double"/>
      <top>
        <color indexed="63"/>
      </top>
      <bottom style="hair"/>
    </border>
    <border>
      <left style="double"/>
      <right>
        <color indexed="63"/>
      </right>
      <top style="double"/>
      <bottom>
        <color indexed="63"/>
      </bottom>
    </border>
    <border>
      <left style="double"/>
      <right>
        <color indexed="63"/>
      </right>
      <top>
        <color indexed="63"/>
      </top>
      <bottom style="double"/>
    </border>
    <border>
      <left style="thin"/>
      <right style="thin"/>
      <top style="hair"/>
      <bottom>
        <color indexed="63"/>
      </bottom>
    </border>
    <border>
      <left style="double"/>
      <right>
        <color indexed="63"/>
      </right>
      <top style="double"/>
      <bottom style="thin"/>
    </border>
    <border>
      <left>
        <color indexed="63"/>
      </left>
      <right>
        <color indexed="63"/>
      </right>
      <top style="double"/>
      <bottom style="thin"/>
    </border>
    <border>
      <left style="double"/>
      <right style="thin"/>
      <top style="thin"/>
      <bottom>
        <color indexed="63"/>
      </bottom>
    </border>
    <border>
      <left style="thin"/>
      <right>
        <color indexed="63"/>
      </right>
      <top>
        <color indexed="63"/>
      </top>
      <bottom>
        <color indexed="63"/>
      </bottom>
    </border>
    <border>
      <left style="double"/>
      <right style="thin"/>
      <top>
        <color indexed="63"/>
      </top>
      <bottom>
        <color indexed="63"/>
      </bottom>
    </border>
    <border>
      <left style="double"/>
      <right style="thin"/>
      <top>
        <color indexed="63"/>
      </top>
      <bottom style="double"/>
    </border>
    <border>
      <left style="thin"/>
      <right style="thin"/>
      <top>
        <color indexed="63"/>
      </top>
      <bottom style="double"/>
    </border>
    <border>
      <left style="double"/>
      <right style="thin"/>
      <top style="thin"/>
      <bottom style="double"/>
    </border>
    <border>
      <left>
        <color indexed="63"/>
      </left>
      <right style="double"/>
      <top>
        <color indexed="63"/>
      </top>
      <bottom style="medium"/>
    </border>
    <border>
      <left style="double"/>
      <right>
        <color indexed="63"/>
      </right>
      <top style="thin"/>
      <bottom style="medium"/>
    </border>
    <border>
      <left style="thin"/>
      <right style="thin"/>
      <top style="thin"/>
      <bottom style="medium"/>
    </border>
    <border>
      <left style="medium"/>
      <right style="medium"/>
      <top style="medium"/>
      <bottom style="thin"/>
    </border>
    <border>
      <left style="medium"/>
      <right style="medium"/>
      <top style="thin"/>
      <bottom style="medium"/>
    </border>
    <border>
      <left style="thin"/>
      <right style="medium"/>
      <top style="thin"/>
      <bottom style="thin"/>
    </border>
    <border>
      <left style="medium"/>
      <right style="thin"/>
      <top style="thin"/>
      <bottom style="medium"/>
    </border>
    <border>
      <left style="medium"/>
      <right style="thin"/>
      <top style="thin"/>
      <bottom style="thin"/>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color indexed="63"/>
      </left>
      <right style="medium"/>
      <top style="medium"/>
      <bottom style="thin"/>
    </border>
    <border>
      <left style="medium"/>
      <right>
        <color indexed="63"/>
      </right>
      <top style="thin"/>
      <bottom style="thin"/>
    </border>
    <border>
      <left>
        <color indexed="63"/>
      </left>
      <right>
        <color indexed="63"/>
      </right>
      <top>
        <color indexed="63"/>
      </top>
      <bottom style="medium"/>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color indexed="63"/>
      </top>
      <bottom style="thin"/>
    </border>
    <border>
      <left>
        <color indexed="63"/>
      </left>
      <right style="double"/>
      <top>
        <color indexed="63"/>
      </top>
      <bottom style="thin"/>
    </border>
    <border>
      <left>
        <color indexed="63"/>
      </left>
      <right>
        <color indexed="63"/>
      </right>
      <top style="double"/>
      <bottom style="double"/>
    </border>
    <border>
      <left>
        <color indexed="63"/>
      </left>
      <right style="double"/>
      <top style="double"/>
      <bottom style="thin"/>
    </border>
    <border>
      <left style="double"/>
      <right style="thin"/>
      <top style="thin"/>
      <bottom style="thin"/>
    </border>
    <border>
      <left style="thin"/>
      <right style="thin"/>
      <top>
        <color indexed="63"/>
      </top>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thin"/>
      <bottom>
        <color indexed="63"/>
      </bottom>
    </border>
    <border>
      <left style="double"/>
      <right>
        <color indexed="63"/>
      </right>
      <top style="thin"/>
      <bottom>
        <color indexed="63"/>
      </bottom>
    </border>
    <border>
      <left style="thin"/>
      <right>
        <color indexed="63"/>
      </right>
      <top>
        <color indexed="63"/>
      </top>
      <bottom style="double"/>
    </border>
    <border>
      <left>
        <color indexed="63"/>
      </left>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9" fillId="2" borderId="0" applyNumberFormat="0" applyBorder="0" applyAlignment="0" applyProtection="0"/>
    <xf numFmtId="0" fontId="139" fillId="3" borderId="0" applyNumberFormat="0" applyBorder="0" applyAlignment="0" applyProtection="0"/>
    <xf numFmtId="0" fontId="139" fillId="4" borderId="0" applyNumberFormat="0" applyBorder="0" applyAlignment="0" applyProtection="0"/>
    <xf numFmtId="0" fontId="139" fillId="5" borderId="0" applyNumberFormat="0" applyBorder="0" applyAlignment="0" applyProtection="0"/>
    <xf numFmtId="0" fontId="139" fillId="6" borderId="0" applyNumberFormat="0" applyBorder="0" applyAlignment="0" applyProtection="0"/>
    <xf numFmtId="0" fontId="139" fillId="7" borderId="0" applyNumberFormat="0" applyBorder="0" applyAlignment="0" applyProtection="0"/>
    <xf numFmtId="0" fontId="139" fillId="8" borderId="0" applyNumberFormat="0" applyBorder="0" applyAlignment="0" applyProtection="0"/>
    <xf numFmtId="0" fontId="139" fillId="9" borderId="0" applyNumberFormat="0" applyBorder="0" applyAlignment="0" applyProtection="0"/>
    <xf numFmtId="0" fontId="139" fillId="10" borderId="0" applyNumberFormat="0" applyBorder="0" applyAlignment="0" applyProtection="0"/>
    <xf numFmtId="0" fontId="139" fillId="11" borderId="0" applyNumberFormat="0" applyBorder="0" applyAlignment="0" applyProtection="0"/>
    <xf numFmtId="0" fontId="139" fillId="12" borderId="0" applyNumberFormat="0" applyBorder="0" applyAlignment="0" applyProtection="0"/>
    <xf numFmtId="0" fontId="139" fillId="13"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10" borderId="0" applyNumberFormat="0" applyBorder="0" applyAlignment="0" applyProtection="0"/>
    <xf numFmtId="0" fontId="140" fillId="16" borderId="0" applyNumberFormat="0" applyBorder="0" applyAlignment="0" applyProtection="0"/>
    <xf numFmtId="0" fontId="140" fillId="17" borderId="0" applyNumberFormat="0" applyBorder="0" applyAlignment="0" applyProtection="0"/>
    <xf numFmtId="0" fontId="140" fillId="18" borderId="0" applyNumberFormat="0" applyBorder="0" applyAlignment="0" applyProtection="0"/>
    <xf numFmtId="0" fontId="140" fillId="19" borderId="0" applyNumberFormat="0" applyBorder="0" applyAlignment="0" applyProtection="0"/>
    <xf numFmtId="0" fontId="140" fillId="20"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23" borderId="0" applyNumberFormat="0" applyBorder="0" applyAlignment="0" applyProtection="0"/>
    <xf numFmtId="0" fontId="140" fillId="24" borderId="0" applyNumberFormat="0" applyBorder="0" applyAlignment="0" applyProtection="0"/>
    <xf numFmtId="0" fontId="141" fillId="25" borderId="0" applyNumberFormat="0" applyBorder="0" applyAlignment="0" applyProtection="0"/>
    <xf numFmtId="0" fontId="142" fillId="26" borderId="1" applyNumberFormat="0" applyAlignment="0" applyProtection="0"/>
    <xf numFmtId="0" fontId="1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4" fillId="0" borderId="0" applyNumberFormat="0" applyFill="0" applyBorder="0" applyAlignment="0" applyProtection="0"/>
    <xf numFmtId="0" fontId="3" fillId="0" borderId="0" applyNumberFormat="0" applyFill="0" applyBorder="0" applyAlignment="0" applyProtection="0"/>
    <xf numFmtId="0" fontId="145" fillId="28" borderId="0" applyNumberFormat="0" applyBorder="0" applyAlignment="0" applyProtection="0"/>
    <xf numFmtId="0" fontId="146" fillId="0" borderId="3" applyNumberFormat="0" applyFill="0" applyAlignment="0" applyProtection="0"/>
    <xf numFmtId="0" fontId="147" fillId="0" borderId="4" applyNumberFormat="0" applyFill="0" applyAlignment="0" applyProtection="0"/>
    <xf numFmtId="0" fontId="148" fillId="0" borderId="5" applyNumberFormat="0" applyFill="0" applyAlignment="0" applyProtection="0"/>
    <xf numFmtId="0" fontId="148" fillId="0" borderId="0" applyNumberFormat="0" applyFill="0" applyBorder="0" applyAlignment="0" applyProtection="0"/>
    <xf numFmtId="0" fontId="2" fillId="0" borderId="0" applyNumberFormat="0" applyFill="0" applyBorder="0" applyAlignment="0" applyProtection="0"/>
    <xf numFmtId="0" fontId="149" fillId="29" borderId="1" applyNumberFormat="0" applyAlignment="0" applyProtection="0"/>
    <xf numFmtId="0" fontId="150" fillId="0" borderId="6" applyNumberFormat="0" applyFill="0" applyAlignment="0" applyProtection="0"/>
    <xf numFmtId="0" fontId="151" fillId="30" borderId="0" applyNumberFormat="0" applyBorder="0" applyAlignment="0" applyProtection="0"/>
    <xf numFmtId="0" fontId="0" fillId="31" borderId="7" applyNumberFormat="0" applyFont="0" applyAlignment="0" applyProtection="0"/>
    <xf numFmtId="0" fontId="152" fillId="26" borderId="8" applyNumberFormat="0" applyAlignment="0" applyProtection="0"/>
    <xf numFmtId="9" fontId="0" fillId="0" borderId="0" applyFont="0" applyFill="0" applyBorder="0" applyAlignment="0" applyProtection="0"/>
    <xf numFmtId="0" fontId="153" fillId="0" borderId="0" applyNumberFormat="0" applyFill="0" applyBorder="0" applyAlignment="0" applyProtection="0"/>
    <xf numFmtId="0" fontId="154" fillId="0" borderId="9" applyNumberFormat="0" applyFill="0" applyAlignment="0" applyProtection="0"/>
    <xf numFmtId="0" fontId="155" fillId="0" borderId="0" applyNumberFormat="0" applyFill="0" applyBorder="0" applyAlignment="0" applyProtection="0"/>
  </cellStyleXfs>
  <cellXfs count="535">
    <xf numFmtId="0" fontId="0" fillId="0" borderId="0" xfId="0" applyAlignment="1">
      <alignment/>
    </xf>
    <xf numFmtId="0" fontId="5" fillId="0" borderId="0" xfId="0" applyFont="1" applyAlignment="1">
      <alignment/>
    </xf>
    <xf numFmtId="0" fontId="10" fillId="32"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0" fillId="0" borderId="0" xfId="0" applyAlignment="1">
      <alignment vertical="center"/>
    </xf>
    <xf numFmtId="1" fontId="13" fillId="34" borderId="10" xfId="0" applyNumberFormat="1" applyFont="1" applyFill="1" applyBorder="1" applyAlignment="1" applyProtection="1">
      <alignment horizontal="center" vertical="center"/>
      <protection locked="0"/>
    </xf>
    <xf numFmtId="1" fontId="156" fillId="34" borderId="10" xfId="0" applyNumberFormat="1" applyFont="1" applyFill="1" applyBorder="1" applyAlignment="1" applyProtection="1">
      <alignment horizontal="center" vertical="center"/>
      <protection locked="0"/>
    </xf>
    <xf numFmtId="1" fontId="13" fillId="35" borderId="10" xfId="0" applyNumberFormat="1" applyFont="1" applyFill="1" applyBorder="1" applyAlignment="1" applyProtection="1">
      <alignment horizontal="center" vertical="center"/>
      <protection locked="0"/>
    </xf>
    <xf numFmtId="1" fontId="13" fillId="36" borderId="10" xfId="0" applyNumberFormat="1" applyFont="1" applyFill="1" applyBorder="1" applyAlignment="1" applyProtection="1">
      <alignment horizontal="center" vertical="center"/>
      <protection locked="0"/>
    </xf>
    <xf numFmtId="0" fontId="25" fillId="0" borderId="0" xfId="0" applyFont="1" applyAlignment="1">
      <alignment/>
    </xf>
    <xf numFmtId="0" fontId="34" fillId="37" borderId="0" xfId="0" applyFont="1" applyFill="1" applyBorder="1" applyAlignment="1" applyProtection="1">
      <alignment horizontal="center" vertical="center"/>
      <protection/>
    </xf>
    <xf numFmtId="0" fontId="35" fillId="37" borderId="0" xfId="0" applyFont="1" applyFill="1" applyBorder="1" applyAlignment="1" applyProtection="1">
      <alignment vertical="top"/>
      <protection/>
    </xf>
    <xf numFmtId="0" fontId="36" fillId="37" borderId="0" xfId="0" applyFont="1" applyFill="1" applyBorder="1" applyAlignment="1" applyProtection="1">
      <alignment horizontal="center" vertical="center"/>
      <protection/>
    </xf>
    <xf numFmtId="0" fontId="17" fillId="37" borderId="0" xfId="0" applyFont="1" applyFill="1" applyAlignment="1" applyProtection="1">
      <alignment horizontal="center" vertical="center"/>
      <protection/>
    </xf>
    <xf numFmtId="0" fontId="37" fillId="38" borderId="0" xfId="0" applyFont="1" applyFill="1" applyAlignment="1" applyProtection="1">
      <alignment horizontal="center" vertical="center"/>
      <protection/>
    </xf>
    <xf numFmtId="0" fontId="38" fillId="38" borderId="0" xfId="0" applyFont="1" applyFill="1" applyAlignment="1" applyProtection="1">
      <alignment horizontal="left" vertical="center"/>
      <protection/>
    </xf>
    <xf numFmtId="0" fontId="38" fillId="38" borderId="0" xfId="0" applyFont="1" applyFill="1" applyAlignment="1" applyProtection="1">
      <alignment horizontal="center" vertical="center"/>
      <protection/>
    </xf>
    <xf numFmtId="0" fontId="38" fillId="0" borderId="0" xfId="0" applyFont="1" applyAlignment="1" applyProtection="1">
      <alignment horizontal="center" vertical="center"/>
      <protection/>
    </xf>
    <xf numFmtId="0" fontId="39" fillId="37" borderId="0" xfId="0" applyFont="1" applyFill="1" applyBorder="1" applyAlignment="1" applyProtection="1">
      <alignment horizontal="center" vertical="center"/>
      <protection/>
    </xf>
    <xf numFmtId="0" fontId="0" fillId="37" borderId="0" xfId="0" applyFont="1" applyFill="1" applyBorder="1" applyAlignment="1" applyProtection="1">
      <alignment horizontal="center"/>
      <protection/>
    </xf>
    <xf numFmtId="0" fontId="40" fillId="37" borderId="0" xfId="0" applyFont="1" applyFill="1" applyBorder="1" applyAlignment="1" applyProtection="1">
      <alignment horizontal="center"/>
      <protection/>
    </xf>
    <xf numFmtId="0" fontId="13" fillId="37" borderId="0" xfId="0" applyFont="1" applyFill="1" applyAlignment="1" applyProtection="1">
      <alignment horizontal="center" vertical="center"/>
      <protection/>
    </xf>
    <xf numFmtId="0" fontId="40" fillId="38" borderId="0" xfId="0" applyFont="1" applyFill="1" applyAlignment="1" applyProtection="1">
      <alignment horizontal="center" vertical="center"/>
      <protection/>
    </xf>
    <xf numFmtId="0" fontId="41" fillId="38" borderId="0" xfId="0" applyFont="1" applyFill="1" applyAlignment="1" applyProtection="1">
      <alignment horizontal="center" vertical="center"/>
      <protection/>
    </xf>
    <xf numFmtId="0" fontId="41" fillId="0" borderId="0" xfId="0" applyFont="1" applyAlignment="1" applyProtection="1">
      <alignment horizontal="center" vertical="center"/>
      <protection/>
    </xf>
    <xf numFmtId="0" fontId="44" fillId="37" borderId="0" xfId="0" applyFont="1" applyFill="1" applyBorder="1" applyAlignment="1" applyProtection="1">
      <alignment vertical="center"/>
      <protection/>
    </xf>
    <xf numFmtId="0" fontId="45" fillId="39" borderId="10" xfId="0" applyFont="1" applyFill="1" applyBorder="1" applyAlignment="1" applyProtection="1">
      <alignment horizontal="center" vertical="center" wrapText="1"/>
      <protection/>
    </xf>
    <xf numFmtId="0" fontId="45" fillId="37" borderId="0" xfId="0" applyFont="1" applyFill="1" applyBorder="1" applyAlignment="1" applyProtection="1">
      <alignment horizontal="center" vertical="center" wrapText="1"/>
      <protection/>
    </xf>
    <xf numFmtId="0" fontId="47" fillId="37" borderId="0" xfId="0" applyFont="1" applyFill="1" applyBorder="1" applyAlignment="1" applyProtection="1">
      <alignment vertical="center" wrapText="1"/>
      <protection/>
    </xf>
    <xf numFmtId="0" fontId="48" fillId="37" borderId="0" xfId="0" applyFont="1" applyFill="1" applyBorder="1" applyAlignment="1" applyProtection="1">
      <alignment horizontal="center" vertical="center" wrapText="1"/>
      <protection/>
    </xf>
    <xf numFmtId="0" fontId="49" fillId="37" borderId="0" xfId="0" applyFont="1" applyFill="1" applyBorder="1" applyAlignment="1" applyProtection="1">
      <alignment horizontal="center" wrapText="1"/>
      <protection/>
    </xf>
    <xf numFmtId="0" fontId="29" fillId="37" borderId="0" xfId="0" applyFont="1" applyFill="1" applyAlignment="1" applyProtection="1">
      <alignment horizontal="center" vertical="center"/>
      <protection/>
    </xf>
    <xf numFmtId="0" fontId="48" fillId="38" borderId="0" xfId="0" applyFont="1" applyFill="1" applyAlignment="1" applyProtection="1">
      <alignment horizontal="center" vertical="center"/>
      <protection/>
    </xf>
    <xf numFmtId="0" fontId="45" fillId="38" borderId="0" xfId="0" applyFont="1" applyFill="1" applyAlignment="1" applyProtection="1">
      <alignment horizontal="center" vertical="center"/>
      <protection/>
    </xf>
    <xf numFmtId="0" fontId="45" fillId="0" borderId="0" xfId="0" applyFont="1" applyAlignment="1" applyProtection="1">
      <alignment horizontal="center" vertical="center"/>
      <protection/>
    </xf>
    <xf numFmtId="0" fontId="50" fillId="37" borderId="0" xfId="0" applyFont="1" applyFill="1" applyBorder="1" applyAlignment="1" applyProtection="1">
      <alignment horizontal="center" vertical="center" wrapText="1"/>
      <protection/>
    </xf>
    <xf numFmtId="0" fontId="51" fillId="37" borderId="0" xfId="0" applyFont="1" applyFill="1" applyBorder="1" applyAlignment="1" applyProtection="1">
      <alignment horizontal="center" vertical="center" wrapText="1"/>
      <protection/>
    </xf>
    <xf numFmtId="0" fontId="51" fillId="37" borderId="0" xfId="0" applyFont="1" applyFill="1" applyAlignment="1" applyProtection="1">
      <alignment horizontal="center" vertical="center"/>
      <protection/>
    </xf>
    <xf numFmtId="0" fontId="50" fillId="38" borderId="0" xfId="0" applyFont="1" applyFill="1" applyAlignment="1" applyProtection="1">
      <alignment horizontal="center" vertical="center"/>
      <protection/>
    </xf>
    <xf numFmtId="0" fontId="50" fillId="0" borderId="0" xfId="0" applyFont="1" applyAlignment="1" applyProtection="1">
      <alignment horizontal="center" vertical="center"/>
      <protection/>
    </xf>
    <xf numFmtId="0" fontId="52" fillId="37" borderId="0" xfId="0" applyFont="1" applyFill="1" applyBorder="1" applyAlignment="1" applyProtection="1">
      <alignment horizontal="center" vertical="center" wrapText="1"/>
      <protection/>
    </xf>
    <xf numFmtId="0" fontId="28" fillId="37" borderId="0" xfId="0" applyFont="1" applyFill="1" applyBorder="1" applyAlignment="1" applyProtection="1">
      <alignment horizontal="center" vertical="center" wrapText="1"/>
      <protection/>
    </xf>
    <xf numFmtId="0" fontId="17" fillId="37" borderId="0" xfId="0" applyFont="1" applyFill="1" applyBorder="1" applyAlignment="1" applyProtection="1">
      <alignment horizontal="center" vertical="center" wrapText="1"/>
      <protection/>
    </xf>
    <xf numFmtId="0" fontId="44" fillId="4" borderId="12" xfId="0" applyFont="1" applyFill="1" applyBorder="1" applyAlignment="1" applyProtection="1">
      <alignment horizontal="left" vertical="center" wrapText="1"/>
      <protection/>
    </xf>
    <xf numFmtId="0" fontId="44" fillId="37" borderId="0" xfId="0" applyFont="1" applyFill="1" applyBorder="1" applyAlignment="1" applyProtection="1">
      <alignment horizontal="left" vertical="center" wrapText="1"/>
      <protection/>
    </xf>
    <xf numFmtId="0" fontId="47" fillId="5" borderId="13" xfId="0" applyFont="1" applyFill="1" applyBorder="1" applyAlignment="1" applyProtection="1">
      <alignment vertical="center" wrapText="1"/>
      <protection/>
    </xf>
    <xf numFmtId="0" fontId="47" fillId="5" borderId="14" xfId="0" applyFont="1" applyFill="1" applyBorder="1" applyAlignment="1" applyProtection="1">
      <alignment vertical="center" wrapText="1"/>
      <protection/>
    </xf>
    <xf numFmtId="0" fontId="47" fillId="5" borderId="14" xfId="0" applyFont="1" applyFill="1" applyBorder="1" applyAlignment="1" applyProtection="1">
      <alignment horizontal="center" vertical="center" wrapText="1"/>
      <protection/>
    </xf>
    <xf numFmtId="0" fontId="47" fillId="5" borderId="10" xfId="0" applyFont="1" applyFill="1" applyBorder="1" applyAlignment="1" applyProtection="1">
      <alignment horizontal="center" vertical="center" wrapText="1"/>
      <protection/>
    </xf>
    <xf numFmtId="0" fontId="47" fillId="5" borderId="15" xfId="0" applyFont="1" applyFill="1" applyBorder="1" applyAlignment="1" applyProtection="1">
      <alignment horizontal="center" vertical="center" wrapText="1"/>
      <protection/>
    </xf>
    <xf numFmtId="3" fontId="47" fillId="5" borderId="15" xfId="0" applyNumberFormat="1" applyFont="1" applyFill="1" applyBorder="1" applyAlignment="1" applyProtection="1">
      <alignment horizontal="center" vertical="center" wrapText="1"/>
      <protection/>
    </xf>
    <xf numFmtId="3" fontId="47" fillId="5" borderId="16" xfId="0" applyNumberFormat="1" applyFont="1" applyFill="1" applyBorder="1" applyAlignment="1" applyProtection="1">
      <alignment horizontal="center" vertical="center" wrapText="1"/>
      <protection/>
    </xf>
    <xf numFmtId="0" fontId="47" fillId="4" borderId="17" xfId="0" applyFont="1" applyFill="1" applyBorder="1" applyAlignment="1" applyProtection="1">
      <alignment horizontal="center" vertical="center" wrapText="1"/>
      <protection/>
    </xf>
    <xf numFmtId="0" fontId="47" fillId="37" borderId="0" xfId="0" applyFont="1" applyFill="1" applyBorder="1" applyAlignment="1" applyProtection="1">
      <alignment horizontal="center" vertical="center" wrapText="1"/>
      <protection/>
    </xf>
    <xf numFmtId="0" fontId="40" fillId="40" borderId="18" xfId="0" applyFont="1" applyFill="1" applyBorder="1" applyAlignment="1" applyProtection="1">
      <alignment horizontal="center" vertical="center" wrapText="1"/>
      <protection locked="0"/>
    </xf>
    <xf numFmtId="0" fontId="40" fillId="37" borderId="19" xfId="0" applyFont="1" applyFill="1" applyBorder="1" applyAlignment="1" applyProtection="1">
      <alignment horizontal="center" vertical="center" wrapText="1"/>
      <protection/>
    </xf>
    <xf numFmtId="0" fontId="40" fillId="37" borderId="20" xfId="0" applyFont="1" applyFill="1" applyBorder="1" applyAlignment="1" applyProtection="1">
      <alignment horizontal="center" vertical="center" wrapText="1"/>
      <protection/>
    </xf>
    <xf numFmtId="0" fontId="40" fillId="37" borderId="21" xfId="0" applyFont="1" applyFill="1" applyBorder="1" applyAlignment="1" applyProtection="1">
      <alignment horizontal="center" vertical="center" wrapText="1"/>
      <protection/>
    </xf>
    <xf numFmtId="0" fontId="27" fillId="4" borderId="22" xfId="0" applyFont="1" applyFill="1" applyBorder="1" applyAlignment="1" applyProtection="1">
      <alignment horizontal="center" vertical="center" wrapText="1"/>
      <protection/>
    </xf>
    <xf numFmtId="0" fontId="27" fillId="37" borderId="0" xfId="0" applyFont="1" applyFill="1" applyBorder="1" applyAlignment="1" applyProtection="1">
      <alignment vertical="center" wrapText="1"/>
      <protection/>
    </xf>
    <xf numFmtId="0" fontId="27" fillId="37" borderId="0" xfId="0" applyFont="1" applyFill="1" applyBorder="1" applyAlignment="1" applyProtection="1">
      <alignment horizontal="center" vertical="center" wrapText="1"/>
      <protection/>
    </xf>
    <xf numFmtId="0" fontId="30" fillId="37" borderId="0" xfId="0" applyFont="1" applyFill="1" applyBorder="1" applyAlignment="1" applyProtection="1">
      <alignment horizontal="center" vertical="center" wrapText="1"/>
      <protection/>
    </xf>
    <xf numFmtId="0" fontId="30" fillId="37" borderId="0" xfId="0" applyFont="1" applyFill="1" applyAlignment="1" applyProtection="1">
      <alignment horizontal="center" vertical="center"/>
      <protection/>
    </xf>
    <xf numFmtId="0" fontId="54" fillId="38" borderId="0" xfId="0" applyFont="1" applyFill="1" applyAlignment="1" applyProtection="1">
      <alignment horizontal="center" vertical="center"/>
      <protection/>
    </xf>
    <xf numFmtId="0" fontId="55" fillId="38" borderId="0" xfId="0" applyFont="1" applyFill="1" applyAlignment="1" applyProtection="1">
      <alignment horizontal="center" vertical="center"/>
      <protection/>
    </xf>
    <xf numFmtId="0" fontId="55" fillId="0" borderId="0" xfId="0" applyFont="1" applyAlignment="1" applyProtection="1">
      <alignment horizontal="center" vertical="center"/>
      <protection/>
    </xf>
    <xf numFmtId="0" fontId="28" fillId="37" borderId="0" xfId="0" applyFont="1" applyFill="1" applyBorder="1" applyAlignment="1" applyProtection="1">
      <alignment vertical="center" wrapText="1"/>
      <protection/>
    </xf>
    <xf numFmtId="180" fontId="17" fillId="38" borderId="0" xfId="42" applyNumberFormat="1" applyFont="1" applyFill="1" applyBorder="1" applyAlignment="1" applyProtection="1">
      <alignment vertical="center"/>
      <protection/>
    </xf>
    <xf numFmtId="0" fontId="17" fillId="38" borderId="0" xfId="0" applyFont="1" applyFill="1" applyAlignment="1" applyProtection="1">
      <alignment horizontal="center" vertical="center"/>
      <protection/>
    </xf>
    <xf numFmtId="0" fontId="41" fillId="38" borderId="0" xfId="0" applyFont="1" applyFill="1" applyAlignment="1" applyProtection="1">
      <alignment horizontal="left" vertical="center"/>
      <protection/>
    </xf>
    <xf numFmtId="0" fontId="57" fillId="0" borderId="23" xfId="0" applyFont="1" applyFill="1" applyBorder="1" applyAlignment="1" applyProtection="1">
      <alignment horizontal="center" vertical="center" wrapText="1"/>
      <protection/>
    </xf>
    <xf numFmtId="0" fontId="58" fillId="37" borderId="0" xfId="0" applyFont="1" applyFill="1" applyBorder="1" applyAlignment="1" applyProtection="1">
      <alignment horizontal="left" vertical="center" wrapText="1"/>
      <protection/>
    </xf>
    <xf numFmtId="0" fontId="55" fillId="37" borderId="0" xfId="0" applyFont="1" applyFill="1" applyAlignment="1" applyProtection="1">
      <alignment horizontal="center" vertical="center"/>
      <protection/>
    </xf>
    <xf numFmtId="180" fontId="58" fillId="38" borderId="0" xfId="42" applyNumberFormat="1" applyFont="1" applyFill="1" applyAlignment="1" applyProtection="1">
      <alignment horizontal="center" vertical="center"/>
      <protection/>
    </xf>
    <xf numFmtId="0" fontId="59" fillId="38" borderId="0" xfId="0" applyFont="1" applyFill="1" applyAlignment="1" applyProtection="1">
      <alignment horizontal="center" vertical="center"/>
      <protection/>
    </xf>
    <xf numFmtId="3" fontId="59" fillId="38" borderId="0" xfId="0" applyNumberFormat="1" applyFont="1" applyFill="1" applyAlignment="1" applyProtection="1">
      <alignment horizontal="center" vertical="center"/>
      <protection/>
    </xf>
    <xf numFmtId="0" fontId="30" fillId="38" borderId="0" xfId="0" applyFont="1" applyFill="1" applyAlignment="1" applyProtection="1">
      <alignment horizontal="center" vertical="center"/>
      <protection/>
    </xf>
    <xf numFmtId="0" fontId="60" fillId="32" borderId="0" xfId="0" applyFont="1" applyFill="1" applyBorder="1" applyAlignment="1" applyProtection="1">
      <alignment horizontal="left" vertical="center"/>
      <protection/>
    </xf>
    <xf numFmtId="180" fontId="60" fillId="32" borderId="0" xfId="0" applyNumberFormat="1" applyFont="1" applyFill="1" applyBorder="1" applyAlignment="1" applyProtection="1">
      <alignment horizontal="right" vertical="center"/>
      <protection/>
    </xf>
    <xf numFmtId="0" fontId="62" fillId="0" borderId="24" xfId="0" applyFont="1" applyBorder="1" applyAlignment="1" applyProtection="1">
      <alignment horizontal="center" vertical="center"/>
      <protection/>
    </xf>
    <xf numFmtId="0" fontId="63" fillId="37" borderId="0" xfId="0" applyFont="1" applyFill="1" applyBorder="1" applyAlignment="1" applyProtection="1">
      <alignment horizontal="left" vertical="center"/>
      <protection/>
    </xf>
    <xf numFmtId="0" fontId="64" fillId="37" borderId="0" xfId="0" applyFont="1" applyFill="1" applyBorder="1" applyAlignment="1" applyProtection="1">
      <alignment wrapText="1"/>
      <protection/>
    </xf>
    <xf numFmtId="0" fontId="65" fillId="37" borderId="0" xfId="0" applyFont="1" applyFill="1" applyBorder="1" applyAlignment="1" applyProtection="1">
      <alignment vertical="center" wrapText="1"/>
      <protection/>
    </xf>
    <xf numFmtId="0" fontId="1" fillId="32" borderId="0" xfId="0" applyFont="1" applyFill="1" applyBorder="1" applyAlignment="1" applyProtection="1">
      <alignment horizontal="left" vertical="center"/>
      <protection/>
    </xf>
    <xf numFmtId="180" fontId="1" fillId="32" borderId="0" xfId="0" applyNumberFormat="1" applyFont="1" applyFill="1" applyBorder="1" applyAlignment="1" applyProtection="1">
      <alignment horizontal="right" vertical="center"/>
      <protection/>
    </xf>
    <xf numFmtId="0" fontId="45" fillId="38" borderId="0" xfId="0" applyFont="1" applyFill="1" applyAlignment="1" applyProtection="1">
      <alignment horizontal="left" vertical="center"/>
      <protection/>
    </xf>
    <xf numFmtId="0" fontId="55" fillId="38" borderId="0" xfId="0" applyFont="1" applyFill="1" applyAlignment="1" applyProtection="1">
      <alignment horizontal="left" vertical="center"/>
      <protection/>
    </xf>
    <xf numFmtId="0" fontId="1" fillId="32" borderId="25" xfId="0" applyFont="1" applyFill="1" applyBorder="1" applyAlignment="1" applyProtection="1">
      <alignment horizontal="left" vertical="center"/>
      <protection/>
    </xf>
    <xf numFmtId="180" fontId="1" fillId="32" borderId="25" xfId="0" applyNumberFormat="1" applyFont="1" applyFill="1" applyBorder="1" applyAlignment="1" applyProtection="1">
      <alignment horizontal="right" vertical="center"/>
      <protection/>
    </xf>
    <xf numFmtId="0" fontId="66" fillId="0" borderId="26" xfId="0" applyFont="1" applyBorder="1" applyAlignment="1" applyProtection="1">
      <alignment horizontal="left" vertical="center" wrapText="1"/>
      <protection/>
    </xf>
    <xf numFmtId="0" fontId="67" fillId="0" borderId="0" xfId="0" applyFont="1" applyFill="1" applyBorder="1" applyAlignment="1" applyProtection="1">
      <alignment horizontal="right" vertical="center"/>
      <protection/>
    </xf>
    <xf numFmtId="0" fontId="68" fillId="37" borderId="0" xfId="0" applyFont="1" applyFill="1" applyBorder="1" applyAlignment="1" applyProtection="1">
      <alignment horizontal="center" vertical="center"/>
      <protection/>
    </xf>
    <xf numFmtId="0" fontId="69" fillId="37" borderId="0" xfId="0" applyFont="1" applyFill="1" applyBorder="1" applyAlignment="1" applyProtection="1">
      <alignment horizontal="center" vertical="center" wrapText="1"/>
      <protection/>
    </xf>
    <xf numFmtId="0" fontId="70" fillId="37" borderId="0" xfId="0" applyFont="1" applyFill="1" applyBorder="1" applyAlignment="1" applyProtection="1">
      <alignment horizontal="center" vertical="center" wrapText="1"/>
      <protection/>
    </xf>
    <xf numFmtId="0" fontId="70" fillId="37" borderId="0" xfId="0" applyFont="1" applyFill="1" applyAlignment="1" applyProtection="1">
      <alignment horizontal="center" vertical="center"/>
      <protection/>
    </xf>
    <xf numFmtId="0" fontId="71" fillId="38" borderId="0" xfId="0" applyFont="1" applyFill="1" applyAlignment="1" applyProtection="1">
      <alignment horizontal="center" vertical="center"/>
      <protection/>
    </xf>
    <xf numFmtId="0" fontId="72" fillId="38" borderId="0" xfId="0" applyFont="1" applyFill="1" applyAlignment="1" applyProtection="1">
      <alignment horizontal="center" vertical="center"/>
      <protection/>
    </xf>
    <xf numFmtId="0" fontId="72" fillId="0" borderId="0" xfId="0" applyFont="1" applyAlignment="1" applyProtection="1">
      <alignment horizontal="center" vertical="center"/>
      <protection/>
    </xf>
    <xf numFmtId="0" fontId="55" fillId="0" borderId="0" xfId="0" applyFont="1" applyAlignment="1" applyProtection="1">
      <alignment horizontal="center" vertical="top"/>
      <protection/>
    </xf>
    <xf numFmtId="0" fontId="63" fillId="37" borderId="0" xfId="0" applyFont="1" applyFill="1" applyBorder="1" applyAlignment="1" applyProtection="1">
      <alignment horizontal="left" vertical="top"/>
      <protection/>
    </xf>
    <xf numFmtId="0" fontId="27" fillId="37" borderId="0" xfId="0" applyFont="1" applyFill="1" applyBorder="1" applyAlignment="1" applyProtection="1">
      <alignment horizontal="center" vertical="top" wrapText="1"/>
      <protection/>
    </xf>
    <xf numFmtId="0" fontId="30" fillId="37" borderId="0" xfId="0" applyFont="1" applyFill="1" applyBorder="1" applyAlignment="1" applyProtection="1">
      <alignment horizontal="center" vertical="top" wrapText="1"/>
      <protection/>
    </xf>
    <xf numFmtId="0" fontId="30" fillId="37" borderId="0" xfId="0" applyFont="1" applyFill="1" applyAlignment="1" applyProtection="1">
      <alignment horizontal="center" vertical="top"/>
      <protection/>
    </xf>
    <xf numFmtId="0" fontId="54" fillId="38" borderId="0" xfId="0" applyFont="1" applyFill="1" applyAlignment="1" applyProtection="1">
      <alignment horizontal="center" vertical="top"/>
      <protection/>
    </xf>
    <xf numFmtId="0" fontId="41" fillId="38" borderId="0" xfId="0" applyFont="1" applyFill="1" applyAlignment="1" applyProtection="1">
      <alignment horizontal="left" vertical="top"/>
      <protection/>
    </xf>
    <xf numFmtId="0" fontId="55" fillId="38" borderId="0" xfId="0" applyFont="1" applyFill="1" applyAlignment="1" applyProtection="1">
      <alignment horizontal="center" vertical="top"/>
      <protection/>
    </xf>
    <xf numFmtId="0" fontId="74" fillId="38" borderId="0" xfId="0" applyFont="1" applyFill="1" applyBorder="1" applyAlignment="1" applyProtection="1">
      <alignment horizontal="left" vertical="center"/>
      <protection/>
    </xf>
    <xf numFmtId="0" fontId="67" fillId="38" borderId="0" xfId="0" applyFont="1" applyFill="1" applyBorder="1" applyAlignment="1" applyProtection="1">
      <alignment horizontal="right" vertical="center"/>
      <protection/>
    </xf>
    <xf numFmtId="181" fontId="67" fillId="38" borderId="0" xfId="0" applyNumberFormat="1" applyFont="1" applyFill="1" applyBorder="1" applyAlignment="1" applyProtection="1">
      <alignment horizontal="left" vertical="center"/>
      <protection/>
    </xf>
    <xf numFmtId="0" fontId="75" fillId="4" borderId="10" xfId="0" applyFont="1" applyFill="1" applyBorder="1" applyAlignment="1" applyProtection="1">
      <alignment horizontal="center" vertical="center"/>
      <protection/>
    </xf>
    <xf numFmtId="0" fontId="76" fillId="4" borderId="27" xfId="0" applyFont="1" applyFill="1" applyBorder="1" applyAlignment="1" applyProtection="1">
      <alignment horizontal="center" vertical="center"/>
      <protection/>
    </xf>
    <xf numFmtId="0" fontId="27" fillId="37" borderId="28" xfId="0" applyFont="1" applyFill="1" applyBorder="1" applyAlignment="1" applyProtection="1">
      <alignment vertical="center"/>
      <protection/>
    </xf>
    <xf numFmtId="0" fontId="27" fillId="37" borderId="0" xfId="0" applyFont="1" applyFill="1" applyBorder="1" applyAlignment="1" applyProtection="1">
      <alignment vertical="center"/>
      <protection/>
    </xf>
    <xf numFmtId="0" fontId="28" fillId="37" borderId="0" xfId="42" applyNumberFormat="1" applyFont="1" applyFill="1" applyBorder="1" applyAlignment="1" applyProtection="1">
      <alignment horizontal="center" vertical="center" wrapText="1"/>
      <protection/>
    </xf>
    <xf numFmtId="0" fontId="17" fillId="37" borderId="0" xfId="42" applyNumberFormat="1" applyFont="1" applyFill="1" applyBorder="1" applyAlignment="1" applyProtection="1">
      <alignment horizontal="center" vertical="center" wrapText="1"/>
      <protection/>
    </xf>
    <xf numFmtId="0" fontId="37" fillId="37" borderId="0" xfId="0" applyFont="1" applyFill="1" applyBorder="1" applyAlignment="1" applyProtection="1">
      <alignment horizontal="center" vertical="center"/>
      <protection/>
    </xf>
    <xf numFmtId="0" fontId="77" fillId="38" borderId="0" xfId="0" applyFont="1" applyFill="1" applyAlignment="1" applyProtection="1">
      <alignment horizontal="left" vertical="center"/>
      <protection/>
    </xf>
    <xf numFmtId="0" fontId="77" fillId="38" borderId="0" xfId="0" applyFont="1" applyFill="1" applyAlignment="1" applyProtection="1">
      <alignment horizontal="center" vertical="center"/>
      <protection/>
    </xf>
    <xf numFmtId="0" fontId="77" fillId="0" borderId="0" xfId="0" applyFont="1" applyAlignment="1" applyProtection="1">
      <alignment horizontal="center" vertical="center"/>
      <protection/>
    </xf>
    <xf numFmtId="0" fontId="78" fillId="4" borderId="29" xfId="0" applyFont="1" applyFill="1" applyBorder="1" applyAlignment="1" applyProtection="1">
      <alignment horizontal="center" vertical="center"/>
      <protection/>
    </xf>
    <xf numFmtId="3" fontId="1" fillId="4" borderId="30" xfId="42" applyNumberFormat="1" applyFont="1" applyFill="1" applyBorder="1" applyAlignment="1" applyProtection="1">
      <alignment horizontal="center" vertical="center"/>
      <protection/>
    </xf>
    <xf numFmtId="180" fontId="79" fillId="37" borderId="0" xfId="42" applyNumberFormat="1" applyFont="1" applyFill="1" applyBorder="1" applyAlignment="1" applyProtection="1">
      <alignment horizontal="center" vertical="center"/>
      <protection/>
    </xf>
    <xf numFmtId="180" fontId="80" fillId="37" borderId="0" xfId="42" applyNumberFormat="1" applyFont="1" applyFill="1" applyBorder="1" applyAlignment="1" applyProtection="1">
      <alignment vertical="center"/>
      <protection/>
    </xf>
    <xf numFmtId="0" fontId="81" fillId="37" borderId="0" xfId="0" applyFont="1" applyFill="1" applyAlignment="1" applyProtection="1">
      <alignment horizontal="center" vertical="center"/>
      <protection/>
    </xf>
    <xf numFmtId="180" fontId="59" fillId="37" borderId="0" xfId="42" applyNumberFormat="1" applyFont="1" applyFill="1" applyBorder="1" applyAlignment="1" applyProtection="1">
      <alignment horizontal="center" vertical="center"/>
      <protection/>
    </xf>
    <xf numFmtId="180" fontId="30" fillId="37" borderId="0" xfId="42" applyNumberFormat="1" applyFont="1" applyFill="1" applyAlignment="1" applyProtection="1">
      <alignment horizontal="center" vertical="center"/>
      <protection/>
    </xf>
    <xf numFmtId="0" fontId="81" fillId="38" borderId="0" xfId="0" applyFont="1" applyFill="1" applyAlignment="1" applyProtection="1">
      <alignment horizontal="left" vertical="center"/>
      <protection/>
    </xf>
    <xf numFmtId="0" fontId="81" fillId="38" borderId="0" xfId="0" applyFont="1" applyFill="1" applyAlignment="1" applyProtection="1">
      <alignment horizontal="center" vertical="center"/>
      <protection/>
    </xf>
    <xf numFmtId="0" fontId="81" fillId="0" borderId="0" xfId="0" applyFont="1" applyAlignment="1" applyProtection="1">
      <alignment horizontal="center" vertical="center"/>
      <protection/>
    </xf>
    <xf numFmtId="0" fontId="78" fillId="4" borderId="31" xfId="0" applyFont="1" applyFill="1" applyBorder="1" applyAlignment="1" applyProtection="1">
      <alignment horizontal="center" vertical="center"/>
      <protection/>
    </xf>
    <xf numFmtId="3" fontId="40" fillId="4" borderId="32" xfId="42" applyNumberFormat="1" applyFont="1" applyFill="1" applyBorder="1" applyAlignment="1" applyProtection="1">
      <alignment horizontal="center" vertical="center"/>
      <protection/>
    </xf>
    <xf numFmtId="10" fontId="79" fillId="37" borderId="0" xfId="42" applyNumberFormat="1" applyFont="1" applyFill="1" applyBorder="1" applyAlignment="1" applyProtection="1">
      <alignment horizontal="center" vertical="center"/>
      <protection/>
    </xf>
    <xf numFmtId="0" fontId="82" fillId="10" borderId="33" xfId="0" applyFont="1" applyFill="1" applyBorder="1" applyAlignment="1" applyProtection="1">
      <alignment horizontal="center" vertical="center" wrapText="1"/>
      <protection/>
    </xf>
    <xf numFmtId="10" fontId="59" fillId="37" borderId="0" xfId="42" applyNumberFormat="1" applyFont="1" applyFill="1" applyBorder="1" applyAlignment="1" applyProtection="1">
      <alignment horizontal="center" vertical="center"/>
      <protection/>
    </xf>
    <xf numFmtId="0" fontId="78" fillId="4" borderId="34" xfId="0" applyFont="1" applyFill="1" applyBorder="1" applyAlignment="1" applyProtection="1">
      <alignment horizontal="center" vertical="center"/>
      <protection/>
    </xf>
    <xf numFmtId="3" fontId="40" fillId="4" borderId="35" xfId="42" applyNumberFormat="1" applyFont="1" applyFill="1" applyBorder="1" applyAlignment="1" applyProtection="1">
      <alignment horizontal="center" vertical="center"/>
      <protection/>
    </xf>
    <xf numFmtId="173" fontId="83" fillId="10" borderId="36" xfId="0" applyNumberFormat="1" applyFont="1" applyFill="1" applyBorder="1" applyAlignment="1" applyProtection="1">
      <alignment horizontal="center" vertical="center" wrapText="1"/>
      <protection/>
    </xf>
    <xf numFmtId="180" fontId="30" fillId="38" borderId="0" xfId="42" applyNumberFormat="1" applyFont="1" applyFill="1" applyAlignment="1" applyProtection="1">
      <alignment horizontal="center" vertical="center"/>
      <protection/>
    </xf>
    <xf numFmtId="0" fontId="78" fillId="4" borderId="37" xfId="0" applyFont="1" applyFill="1" applyBorder="1" applyAlignment="1" applyProtection="1">
      <alignment horizontal="center" vertical="center"/>
      <protection/>
    </xf>
    <xf numFmtId="3" fontId="40" fillId="4" borderId="38" xfId="42" applyNumberFormat="1" applyFont="1" applyFill="1" applyBorder="1" applyAlignment="1" applyProtection="1">
      <alignment horizontal="center" vertical="center"/>
      <protection/>
    </xf>
    <xf numFmtId="0" fontId="84" fillId="37" borderId="0" xfId="42" applyNumberFormat="1" applyFont="1" applyFill="1" applyBorder="1" applyAlignment="1" applyProtection="1">
      <alignment horizontal="right" vertical="center"/>
      <protection/>
    </xf>
    <xf numFmtId="180" fontId="54" fillId="37" borderId="0" xfId="42" applyNumberFormat="1" applyFont="1" applyFill="1" applyBorder="1" applyAlignment="1" applyProtection="1">
      <alignment vertical="center"/>
      <protection/>
    </xf>
    <xf numFmtId="0" fontId="30" fillId="37" borderId="0" xfId="42" applyNumberFormat="1" applyFont="1" applyFill="1" applyBorder="1" applyAlignment="1" applyProtection="1">
      <alignment horizontal="right" vertical="center"/>
      <protection/>
    </xf>
    <xf numFmtId="0" fontId="78" fillId="4" borderId="10" xfId="0" applyFont="1" applyFill="1" applyBorder="1" applyAlignment="1" applyProtection="1">
      <alignment horizontal="center" vertical="center"/>
      <protection/>
    </xf>
    <xf numFmtId="3" fontId="40" fillId="4" borderId="16" xfId="42" applyNumberFormat="1" applyFont="1" applyFill="1" applyBorder="1" applyAlignment="1" applyProtection="1">
      <alignment horizontal="center" vertical="center"/>
      <protection/>
    </xf>
    <xf numFmtId="0" fontId="78" fillId="4" borderId="39" xfId="0" applyFont="1" applyFill="1" applyBorder="1" applyAlignment="1" applyProtection="1">
      <alignment horizontal="center" vertical="center"/>
      <protection/>
    </xf>
    <xf numFmtId="3" fontId="40" fillId="4" borderId="40" xfId="42" applyNumberFormat="1" applyFont="1" applyFill="1" applyBorder="1" applyAlignment="1" applyProtection="1">
      <alignment horizontal="center" vertical="center"/>
      <protection/>
    </xf>
    <xf numFmtId="180" fontId="49" fillId="10" borderId="33" xfId="42" applyNumberFormat="1" applyFont="1" applyFill="1" applyBorder="1" applyAlignment="1" applyProtection="1">
      <alignment horizontal="center" vertical="center" wrapText="1"/>
      <protection/>
    </xf>
    <xf numFmtId="180" fontId="80" fillId="10" borderId="41" xfId="42" applyNumberFormat="1" applyFont="1" applyFill="1" applyBorder="1" applyAlignment="1" applyProtection="1">
      <alignment vertical="center"/>
      <protection/>
    </xf>
    <xf numFmtId="180" fontId="80" fillId="10" borderId="26" xfId="42" applyNumberFormat="1" applyFont="1" applyFill="1" applyBorder="1" applyAlignment="1" applyProtection="1">
      <alignment vertical="center"/>
      <protection/>
    </xf>
    <xf numFmtId="180" fontId="30" fillId="10" borderId="26" xfId="42" applyNumberFormat="1" applyFont="1" applyFill="1" applyBorder="1" applyAlignment="1" applyProtection="1">
      <alignment horizontal="center" vertical="center"/>
      <protection/>
    </xf>
    <xf numFmtId="180" fontId="30" fillId="37" borderId="28" xfId="42" applyNumberFormat="1" applyFont="1" applyFill="1" applyBorder="1" applyAlignment="1" applyProtection="1">
      <alignment horizontal="center" vertical="center"/>
      <protection/>
    </xf>
    <xf numFmtId="182" fontId="83" fillId="10" borderId="36" xfId="42" applyNumberFormat="1" applyFont="1" applyFill="1" applyBorder="1" applyAlignment="1" applyProtection="1">
      <alignment horizontal="center" vertical="center"/>
      <protection/>
    </xf>
    <xf numFmtId="180" fontId="80" fillId="10" borderId="42" xfId="42" applyNumberFormat="1" applyFont="1" applyFill="1" applyBorder="1" applyAlignment="1" applyProtection="1">
      <alignment vertical="center"/>
      <protection/>
    </xf>
    <xf numFmtId="180" fontId="80" fillId="10" borderId="25" xfId="42" applyNumberFormat="1" applyFont="1" applyFill="1" applyBorder="1" applyAlignment="1" applyProtection="1">
      <alignment vertical="center"/>
      <protection/>
    </xf>
    <xf numFmtId="180" fontId="30" fillId="10" borderId="25" xfId="42" applyNumberFormat="1" applyFont="1" applyFill="1" applyBorder="1" applyAlignment="1" applyProtection="1">
      <alignment horizontal="center" vertical="center"/>
      <protection/>
    </xf>
    <xf numFmtId="0" fontId="78" fillId="4" borderId="43" xfId="0" applyFont="1" applyFill="1" applyBorder="1" applyAlignment="1" applyProtection="1">
      <alignment horizontal="center" vertical="center"/>
      <protection/>
    </xf>
    <xf numFmtId="0" fontId="48" fillId="10" borderId="44" xfId="0" applyFont="1" applyFill="1" applyBorder="1" applyAlignment="1" applyProtection="1">
      <alignment vertical="center"/>
      <protection/>
    </xf>
    <xf numFmtId="0" fontId="48" fillId="10" borderId="45" xfId="0" applyFont="1" applyFill="1" applyBorder="1" applyAlignment="1" applyProtection="1">
      <alignment vertical="center"/>
      <protection/>
    </xf>
    <xf numFmtId="180" fontId="30" fillId="10" borderId="45" xfId="42" applyNumberFormat="1" applyFont="1" applyFill="1" applyBorder="1" applyAlignment="1" applyProtection="1">
      <alignment horizontal="center" vertical="center"/>
      <protection/>
    </xf>
    <xf numFmtId="3" fontId="40" fillId="10" borderId="46" xfId="42" applyNumberFormat="1" applyFont="1" applyFill="1" applyBorder="1" applyAlignment="1" applyProtection="1">
      <alignment horizontal="center" vertical="center"/>
      <protection/>
    </xf>
    <xf numFmtId="3" fontId="40" fillId="10" borderId="11" xfId="42" applyNumberFormat="1" applyFont="1" applyFill="1" applyBorder="1" applyAlignment="1" applyProtection="1">
      <alignment horizontal="center" vertical="center"/>
      <protection/>
    </xf>
    <xf numFmtId="180" fontId="30" fillId="10" borderId="47" xfId="42" applyNumberFormat="1" applyFont="1" applyFill="1" applyBorder="1" applyAlignment="1" applyProtection="1">
      <alignment horizontal="center" vertical="center"/>
      <protection/>
    </xf>
    <xf numFmtId="3" fontId="30" fillId="38" borderId="0" xfId="42" applyNumberFormat="1" applyFont="1" applyFill="1" applyAlignment="1" applyProtection="1">
      <alignment horizontal="center" vertical="center"/>
      <protection/>
    </xf>
    <xf numFmtId="0" fontId="30" fillId="38" borderId="0" xfId="42" applyNumberFormat="1" applyFont="1" applyFill="1" applyAlignment="1" applyProtection="1">
      <alignment horizontal="center" vertical="center"/>
      <protection/>
    </xf>
    <xf numFmtId="3" fontId="21" fillId="4" borderId="40" xfId="42" applyNumberFormat="1" applyFont="1" applyFill="1" applyBorder="1" applyAlignment="1" applyProtection="1">
      <alignment horizontal="center" vertical="center"/>
      <protection/>
    </xf>
    <xf numFmtId="180" fontId="86" fillId="10" borderId="48" xfId="42" applyNumberFormat="1" applyFont="1" applyFill="1" applyBorder="1" applyAlignment="1" applyProtection="1">
      <alignment horizontal="center" wrapText="1"/>
      <protection/>
    </xf>
    <xf numFmtId="180" fontId="86" fillId="10" borderId="29" xfId="42" applyNumberFormat="1" applyFont="1" applyFill="1" applyBorder="1" applyAlignment="1" applyProtection="1">
      <alignment horizontal="center" wrapText="1"/>
      <protection/>
    </xf>
    <xf numFmtId="3" fontId="21" fillId="4" borderId="35" xfId="42" applyNumberFormat="1" applyFont="1" applyFill="1" applyBorder="1" applyAlignment="1" applyProtection="1">
      <alignment horizontal="center" vertical="center"/>
      <protection/>
    </xf>
    <xf numFmtId="180" fontId="88" fillId="10" borderId="48" xfId="42" applyNumberFormat="1" applyFont="1" applyFill="1" applyBorder="1" applyAlignment="1" applyProtection="1">
      <alignment horizontal="center" vertical="center" wrapText="1"/>
      <protection/>
    </xf>
    <xf numFmtId="180" fontId="88" fillId="10" borderId="29" xfId="42" applyNumberFormat="1" applyFont="1" applyFill="1" applyBorder="1" applyAlignment="1" applyProtection="1">
      <alignment horizontal="center" vertical="center"/>
      <protection/>
    </xf>
    <xf numFmtId="180" fontId="54" fillId="38" borderId="0" xfId="0" applyNumberFormat="1" applyFont="1" applyFill="1" applyAlignment="1" applyProtection="1">
      <alignment horizontal="center" vertical="center"/>
      <protection/>
    </xf>
    <xf numFmtId="0" fontId="49" fillId="10" borderId="48" xfId="0" applyFont="1" applyFill="1" applyBorder="1" applyAlignment="1" applyProtection="1">
      <alignment horizontal="center" vertical="center" wrapText="1"/>
      <protection/>
    </xf>
    <xf numFmtId="0" fontId="49" fillId="10" borderId="29" xfId="0" applyFont="1" applyFill="1" applyBorder="1" applyAlignment="1" applyProtection="1">
      <alignment horizontal="center" vertical="center" wrapText="1"/>
      <protection/>
    </xf>
    <xf numFmtId="180" fontId="49" fillId="10" borderId="29" xfId="42" applyNumberFormat="1" applyFont="1" applyFill="1" applyBorder="1" applyAlignment="1" applyProtection="1">
      <alignment horizontal="center" wrapText="1"/>
      <protection/>
    </xf>
    <xf numFmtId="0" fontId="89" fillId="4" borderId="39" xfId="0" applyFont="1" applyFill="1" applyBorder="1" applyAlignment="1" applyProtection="1">
      <alignment horizontal="center" vertical="center"/>
      <protection/>
    </xf>
    <xf numFmtId="3" fontId="1" fillId="4" borderId="32" xfId="42" applyNumberFormat="1" applyFont="1" applyFill="1" applyBorder="1" applyAlignment="1" applyProtection="1">
      <alignment horizontal="center" vertical="center"/>
      <protection/>
    </xf>
    <xf numFmtId="180" fontId="88" fillId="10" borderId="49" xfId="42" applyNumberFormat="1" applyFont="1" applyFill="1" applyBorder="1" applyAlignment="1" applyProtection="1">
      <alignment horizontal="center" vertical="center"/>
      <protection/>
    </xf>
    <xf numFmtId="180" fontId="88" fillId="10" borderId="50" xfId="42" applyNumberFormat="1" applyFont="1" applyFill="1" applyBorder="1" applyAlignment="1" applyProtection="1">
      <alignment horizontal="center" vertical="center"/>
      <protection/>
    </xf>
    <xf numFmtId="0" fontId="89" fillId="4" borderId="43" xfId="0" applyFont="1" applyFill="1" applyBorder="1" applyAlignment="1" applyProtection="1">
      <alignment horizontal="center" vertical="center" wrapText="1"/>
      <protection/>
    </xf>
    <xf numFmtId="3" fontId="1" fillId="4" borderId="38" xfId="42" applyNumberFormat="1" applyFont="1" applyFill="1" applyBorder="1" applyAlignment="1" applyProtection="1">
      <alignment horizontal="center" vertical="center"/>
      <protection/>
    </xf>
    <xf numFmtId="180" fontId="27" fillId="37" borderId="0" xfId="42" applyNumberFormat="1" applyFont="1" applyFill="1" applyBorder="1" applyAlignment="1" applyProtection="1">
      <alignment horizontal="center" vertical="center"/>
      <protection/>
    </xf>
    <xf numFmtId="180" fontId="30" fillId="37" borderId="0" xfId="42" applyNumberFormat="1" applyFont="1" applyFill="1" applyBorder="1" applyAlignment="1" applyProtection="1">
      <alignment horizontal="center" vertical="center"/>
      <protection/>
    </xf>
    <xf numFmtId="0" fontId="89" fillId="4" borderId="19" xfId="0" applyFont="1" applyFill="1" applyBorder="1" applyAlignment="1" applyProtection="1">
      <alignment horizontal="center" vertical="center"/>
      <protection/>
    </xf>
    <xf numFmtId="3" fontId="1" fillId="4" borderId="21" xfId="0" applyNumberFormat="1" applyFont="1" applyFill="1" applyBorder="1" applyAlignment="1" applyProtection="1">
      <alignment horizontal="center" vertical="center"/>
      <protection/>
    </xf>
    <xf numFmtId="0" fontId="61" fillId="37" borderId="0" xfId="0" applyFont="1" applyFill="1" applyBorder="1" applyAlignment="1" applyProtection="1">
      <alignment vertical="center" wrapText="1"/>
      <protection/>
    </xf>
    <xf numFmtId="0" fontId="61" fillId="38" borderId="0" xfId="0" applyFont="1" applyFill="1" applyBorder="1" applyAlignment="1" applyProtection="1">
      <alignment vertical="center" wrapText="1"/>
      <protection/>
    </xf>
    <xf numFmtId="0" fontId="90" fillId="37" borderId="0" xfId="0" applyFont="1" applyFill="1" applyAlignment="1" applyProtection="1">
      <alignment horizontal="center" vertical="center"/>
      <protection/>
    </xf>
    <xf numFmtId="0" fontId="91" fillId="37" borderId="0" xfId="0" applyFont="1" applyFill="1" applyAlignment="1" applyProtection="1">
      <alignment vertical="center"/>
      <protection/>
    </xf>
    <xf numFmtId="0" fontId="92" fillId="37" borderId="0" xfId="0" applyFont="1" applyFill="1" applyAlignment="1" applyProtection="1">
      <alignment horizontal="center" vertical="center"/>
      <protection/>
    </xf>
    <xf numFmtId="0" fontId="67" fillId="37" borderId="0" xfId="0" applyFont="1" applyFill="1" applyAlignment="1" applyProtection="1">
      <alignment horizontal="right" vertical="center"/>
      <protection/>
    </xf>
    <xf numFmtId="180" fontId="28" fillId="37" borderId="0" xfId="42" applyNumberFormat="1" applyFont="1" applyFill="1" applyBorder="1" applyAlignment="1" applyProtection="1">
      <alignment horizontal="center" vertical="center"/>
      <protection/>
    </xf>
    <xf numFmtId="180" fontId="17" fillId="37" borderId="0" xfId="42" applyNumberFormat="1" applyFont="1" applyFill="1" applyBorder="1" applyAlignment="1" applyProtection="1">
      <alignment horizontal="center" vertical="center"/>
      <protection/>
    </xf>
    <xf numFmtId="180" fontId="17" fillId="37" borderId="0" xfId="42" applyNumberFormat="1" applyFont="1" applyFill="1" applyAlignment="1" applyProtection="1">
      <alignment horizontal="center" vertical="center"/>
      <protection/>
    </xf>
    <xf numFmtId="180" fontId="37" fillId="38" borderId="0" xfId="0" applyNumberFormat="1" applyFont="1" applyFill="1" applyAlignment="1" applyProtection="1">
      <alignment horizontal="center" vertical="center"/>
      <protection/>
    </xf>
    <xf numFmtId="0" fontId="90" fillId="38" borderId="0" xfId="0" applyFont="1" applyFill="1" applyAlignment="1" applyProtection="1">
      <alignment horizontal="left" vertical="center"/>
      <protection/>
    </xf>
    <xf numFmtId="0" fontId="90" fillId="38" borderId="0" xfId="0" applyFont="1" applyFill="1" applyAlignment="1" applyProtection="1">
      <alignment horizontal="center" vertical="center"/>
      <protection/>
    </xf>
    <xf numFmtId="0" fontId="90" fillId="0" borderId="0" xfId="0" applyFont="1" applyAlignment="1" applyProtection="1">
      <alignment horizontal="center" vertical="center"/>
      <protection/>
    </xf>
    <xf numFmtId="0" fontId="38" fillId="37" borderId="0" xfId="0" applyFont="1" applyFill="1" applyAlignment="1" applyProtection="1">
      <alignment horizontal="center" vertical="center"/>
      <protection/>
    </xf>
    <xf numFmtId="3" fontId="90" fillId="37" borderId="0" xfId="0" applyNumberFormat="1" applyFont="1" applyFill="1" applyAlignment="1" applyProtection="1">
      <alignment horizontal="center" vertical="center"/>
      <protection/>
    </xf>
    <xf numFmtId="43" fontId="90" fillId="37" borderId="0" xfId="0" applyNumberFormat="1" applyFont="1" applyFill="1" applyAlignment="1" applyProtection="1">
      <alignment horizontal="center" vertical="center"/>
      <protection/>
    </xf>
    <xf numFmtId="0" fontId="17" fillId="38" borderId="0" xfId="0" applyFont="1" applyFill="1" applyAlignment="1" applyProtection="1">
      <alignment horizontal="right" vertical="center"/>
      <protection/>
    </xf>
    <xf numFmtId="0" fontId="58" fillId="38" borderId="0" xfId="0" applyFont="1" applyFill="1" applyAlignment="1" applyProtection="1">
      <alignment horizontal="center" vertical="center"/>
      <protection/>
    </xf>
    <xf numFmtId="0" fontId="38" fillId="0" borderId="0" xfId="0" applyFont="1" applyAlignment="1" applyProtection="1">
      <alignment horizontal="center" vertical="center"/>
      <protection locked="0"/>
    </xf>
    <xf numFmtId="1" fontId="15" fillId="41" borderId="10" xfId="0" applyNumberFormat="1" applyFont="1" applyFill="1" applyBorder="1" applyAlignment="1">
      <alignment horizontal="center" vertical="center"/>
    </xf>
    <xf numFmtId="1" fontId="157" fillId="42" borderId="10" xfId="0" applyNumberFormat="1" applyFont="1" applyFill="1" applyBorder="1" applyAlignment="1">
      <alignment horizontal="center" vertical="center"/>
    </xf>
    <xf numFmtId="1" fontId="40" fillId="35" borderId="51" xfId="0" applyNumberFormat="1" applyFont="1" applyFill="1" applyBorder="1" applyAlignment="1" applyProtection="1">
      <alignment horizontal="center" vertical="center" wrapText="1"/>
      <protection/>
    </xf>
    <xf numFmtId="0" fontId="40" fillId="35" borderId="19" xfId="0" applyNumberFormat="1" applyFont="1" applyFill="1" applyBorder="1" applyAlignment="1" applyProtection="1">
      <alignment horizontal="center" vertical="center" wrapText="1"/>
      <protection/>
    </xf>
    <xf numFmtId="1" fontId="40" fillId="35" borderId="19" xfId="0" applyNumberFormat="1" applyFont="1" applyFill="1" applyBorder="1" applyAlignment="1" applyProtection="1">
      <alignment horizontal="center" vertical="center" wrapText="1"/>
      <protection/>
    </xf>
    <xf numFmtId="1" fontId="1" fillId="35" borderId="19" xfId="0" applyNumberFormat="1" applyFont="1" applyFill="1" applyBorder="1" applyAlignment="1" applyProtection="1">
      <alignment horizontal="center" vertical="center" wrapText="1"/>
      <protection/>
    </xf>
    <xf numFmtId="1" fontId="40" fillId="35" borderId="21" xfId="0" applyNumberFormat="1" applyFont="1" applyFill="1" applyBorder="1" applyAlignment="1" applyProtection="1">
      <alignment horizontal="center" vertical="center" wrapText="1"/>
      <protection/>
    </xf>
    <xf numFmtId="0" fontId="39" fillId="35" borderId="52" xfId="0" applyFont="1" applyFill="1" applyBorder="1" applyAlignment="1" applyProtection="1">
      <alignment vertical="center"/>
      <protection/>
    </xf>
    <xf numFmtId="1" fontId="0" fillId="35" borderId="10" xfId="0" applyNumberFormat="1" applyFill="1" applyBorder="1" applyAlignment="1">
      <alignment horizontal="center" vertical="center"/>
    </xf>
    <xf numFmtId="0" fontId="0" fillId="35" borderId="10" xfId="0" applyFill="1" applyBorder="1" applyAlignment="1">
      <alignment horizontal="center" vertical="center"/>
    </xf>
    <xf numFmtId="0" fontId="0" fillId="35" borderId="10" xfId="0" applyFont="1" applyFill="1" applyBorder="1" applyAlignment="1">
      <alignment horizontal="center" vertical="center"/>
    </xf>
    <xf numFmtId="0" fontId="0" fillId="35" borderId="10" xfId="0" applyFill="1" applyBorder="1" applyAlignment="1">
      <alignment vertical="center"/>
    </xf>
    <xf numFmtId="0" fontId="0" fillId="42" borderId="0" xfId="0" applyFill="1" applyAlignment="1">
      <alignment/>
    </xf>
    <xf numFmtId="0" fontId="0" fillId="42" borderId="0" xfId="0" applyFont="1" applyFill="1" applyAlignment="1">
      <alignment horizontal="right"/>
    </xf>
    <xf numFmtId="0" fontId="0" fillId="42" borderId="0" xfId="0" applyFill="1" applyAlignment="1">
      <alignment horizontal="right"/>
    </xf>
    <xf numFmtId="0" fontId="0" fillId="42" borderId="0" xfId="0" applyFill="1" applyAlignment="1">
      <alignment horizontal="left"/>
    </xf>
    <xf numFmtId="1" fontId="158" fillId="42" borderId="0" xfId="0" applyNumberFormat="1" applyFont="1" applyFill="1" applyAlignment="1">
      <alignment/>
    </xf>
    <xf numFmtId="0" fontId="0" fillId="42" borderId="0" xfId="0" applyFont="1" applyFill="1" applyAlignment="1">
      <alignment/>
    </xf>
    <xf numFmtId="0" fontId="98" fillId="42" borderId="15" xfId="0" applyFont="1" applyFill="1" applyBorder="1" applyAlignment="1">
      <alignment vertical="center"/>
    </xf>
    <xf numFmtId="0" fontId="47" fillId="42" borderId="14" xfId="0" applyFont="1" applyFill="1" applyBorder="1" applyAlignment="1">
      <alignment vertical="center"/>
    </xf>
    <xf numFmtId="1" fontId="158" fillId="42" borderId="0" xfId="0" applyNumberFormat="1" applyFont="1" applyFill="1" applyAlignment="1">
      <alignment horizontal="left"/>
    </xf>
    <xf numFmtId="0" fontId="39" fillId="35" borderId="53" xfId="0" applyFont="1" applyFill="1" applyBorder="1" applyAlignment="1" applyProtection="1">
      <alignment horizontal="right" vertical="center"/>
      <protection/>
    </xf>
    <xf numFmtId="0" fontId="39" fillId="35" borderId="54" xfId="0" applyFont="1" applyFill="1" applyBorder="1" applyAlignment="1" applyProtection="1">
      <alignment horizontal="right" vertical="center"/>
      <protection/>
    </xf>
    <xf numFmtId="1" fontId="51" fillId="41" borderId="54" xfId="0" applyNumberFormat="1" applyFont="1" applyFill="1" applyBorder="1" applyAlignment="1">
      <alignment horizontal="center" vertical="center"/>
    </xf>
    <xf numFmtId="0" fontId="159" fillId="35" borderId="14" xfId="0" applyFont="1" applyFill="1" applyBorder="1" applyAlignment="1">
      <alignment horizontal="center" vertical="center" wrapText="1"/>
    </xf>
    <xf numFmtId="0" fontId="51" fillId="43" borderId="55" xfId="0" applyFont="1" applyFill="1" applyBorder="1" applyAlignment="1" applyProtection="1">
      <alignment horizontal="center" vertical="center"/>
      <protection locked="0"/>
    </xf>
    <xf numFmtId="1" fontId="51" fillId="44" borderId="56" xfId="0" applyNumberFormat="1" applyFont="1" applyFill="1" applyBorder="1" applyAlignment="1" applyProtection="1">
      <alignment horizontal="center" vertical="center"/>
      <protection locked="0"/>
    </xf>
    <xf numFmtId="0" fontId="10" fillId="33" borderId="57" xfId="0" applyFont="1" applyFill="1" applyBorder="1" applyAlignment="1">
      <alignment horizontal="center" vertical="center" wrapText="1"/>
    </xf>
    <xf numFmtId="0" fontId="8" fillId="40" borderId="58" xfId="0" applyNumberFormat="1" applyFont="1" applyFill="1" applyBorder="1" applyAlignment="1" applyProtection="1">
      <alignment horizontal="center" vertical="center" wrapText="1"/>
      <protection locked="0"/>
    </xf>
    <xf numFmtId="1" fontId="8" fillId="40" borderId="54" xfId="0" applyNumberFormat="1" applyFont="1" applyFill="1" applyBorder="1" applyAlignment="1" applyProtection="1">
      <alignment horizontal="center" vertical="center"/>
      <protection locked="0"/>
    </xf>
    <xf numFmtId="1" fontId="8" fillId="44" borderId="54" xfId="0" applyNumberFormat="1" applyFont="1" applyFill="1" applyBorder="1" applyAlignment="1" applyProtection="1">
      <alignment horizontal="center" vertical="center"/>
      <protection locked="0"/>
    </xf>
    <xf numFmtId="0" fontId="13" fillId="34" borderId="59" xfId="0" applyNumberFormat="1" applyFont="1" applyFill="1" applyBorder="1" applyAlignment="1" applyProtection="1">
      <alignment horizontal="center" vertical="center" wrapText="1"/>
      <protection locked="0"/>
    </xf>
    <xf numFmtId="1" fontId="13" fillId="36" borderId="57" xfId="0" applyNumberFormat="1" applyFont="1" applyFill="1" applyBorder="1" applyAlignment="1" applyProtection="1">
      <alignment horizontal="center" vertical="center"/>
      <protection locked="0"/>
    </xf>
    <xf numFmtId="1" fontId="160" fillId="41" borderId="10" xfId="0" applyNumberFormat="1" applyFont="1" applyFill="1" applyBorder="1" applyAlignment="1">
      <alignment horizontal="center" vertical="center"/>
    </xf>
    <xf numFmtId="1" fontId="0" fillId="0" borderId="0" xfId="0" applyNumberFormat="1" applyAlignment="1">
      <alignment horizontal="center" vertical="center"/>
    </xf>
    <xf numFmtId="0" fontId="0" fillId="0" borderId="0" xfId="0" applyFont="1" applyAlignment="1">
      <alignment horizontal="center" wrapText="1"/>
    </xf>
    <xf numFmtId="0" fontId="161" fillId="0" borderId="60" xfId="0" applyFont="1" applyBorder="1" applyAlignment="1">
      <alignment vertical="center" wrapText="1"/>
    </xf>
    <xf numFmtId="1" fontId="162" fillId="41" borderId="10" xfId="0" applyNumberFormat="1" applyFont="1" applyFill="1" applyBorder="1" applyAlignment="1">
      <alignment horizontal="center" vertical="center"/>
    </xf>
    <xf numFmtId="0" fontId="163" fillId="41" borderId="15" xfId="0" applyFont="1" applyFill="1" applyBorder="1" applyAlignment="1">
      <alignment vertical="center"/>
    </xf>
    <xf numFmtId="0" fontId="163" fillId="42" borderId="15" xfId="0" applyFont="1" applyFill="1" applyBorder="1" applyAlignment="1">
      <alignment vertical="center"/>
    </xf>
    <xf numFmtId="0" fontId="163" fillId="41" borderId="61" xfId="0" applyFont="1" applyFill="1" applyBorder="1" applyAlignment="1">
      <alignment vertical="center"/>
    </xf>
    <xf numFmtId="0" fontId="22" fillId="45" borderId="62" xfId="0" applyFont="1" applyFill="1" applyBorder="1" applyAlignment="1" applyProtection="1">
      <alignment/>
      <protection/>
    </xf>
    <xf numFmtId="0" fontId="22" fillId="45" borderId="61" xfId="0" applyFont="1" applyFill="1" applyBorder="1" applyAlignment="1" applyProtection="1">
      <alignment/>
      <protection/>
    </xf>
    <xf numFmtId="1" fontId="11" fillId="45" borderId="54" xfId="0" applyNumberFormat="1" applyFont="1" applyFill="1" applyBorder="1" applyAlignment="1" applyProtection="1">
      <alignment horizontal="left" vertical="center"/>
      <protection locked="0"/>
    </xf>
    <xf numFmtId="1" fontId="11" fillId="45" borderId="63" xfId="0" applyNumberFormat="1" applyFont="1" applyFill="1" applyBorder="1" applyAlignment="1">
      <alignment horizontal="left" vertical="center"/>
    </xf>
    <xf numFmtId="0" fontId="24" fillId="42" borderId="0" xfId="0" applyFont="1" applyFill="1" applyAlignment="1">
      <alignment/>
    </xf>
    <xf numFmtId="0" fontId="0" fillId="42" borderId="0" xfId="0" applyFill="1" applyAlignment="1">
      <alignment vertical="top"/>
    </xf>
    <xf numFmtId="0" fontId="97" fillId="42" borderId="0" xfId="0" applyFont="1" applyFill="1" applyAlignment="1">
      <alignment vertical="top"/>
    </xf>
    <xf numFmtId="1" fontId="158" fillId="34" borderId="10" xfId="0" applyNumberFormat="1" applyFont="1" applyFill="1" applyBorder="1" applyAlignment="1" applyProtection="1">
      <alignment horizontal="center" vertical="center"/>
      <protection locked="0"/>
    </xf>
    <xf numFmtId="1" fontId="164" fillId="35" borderId="10" xfId="0" applyNumberFormat="1" applyFont="1" applyFill="1" applyBorder="1" applyAlignment="1">
      <alignment horizontal="center" vertical="center"/>
    </xf>
    <xf numFmtId="1" fontId="51" fillId="46" borderId="56" xfId="0" applyNumberFormat="1" applyFont="1" applyFill="1" applyBorder="1" applyAlignment="1" applyProtection="1">
      <alignment horizontal="center" vertical="center"/>
      <protection locked="0"/>
    </xf>
    <xf numFmtId="0" fontId="165" fillId="42" borderId="0" xfId="0" applyFont="1" applyFill="1" applyAlignment="1">
      <alignment horizontal="left"/>
    </xf>
    <xf numFmtId="0" fontId="164" fillId="42" borderId="0" xfId="0" applyFont="1" applyFill="1" applyAlignment="1">
      <alignment/>
    </xf>
    <xf numFmtId="0" fontId="166" fillId="0" borderId="0" xfId="0" applyFont="1" applyBorder="1" applyAlignment="1">
      <alignment horizontal="left" vertical="top"/>
    </xf>
    <xf numFmtId="0" fontId="165" fillId="0" borderId="0" xfId="0" applyFont="1" applyBorder="1" applyAlignment="1">
      <alignment horizontal="center" vertical="center" wrapText="1"/>
    </xf>
    <xf numFmtId="0" fontId="32" fillId="0" borderId="0" xfId="0" applyFont="1" applyAlignment="1">
      <alignment horizontal="left"/>
    </xf>
    <xf numFmtId="0" fontId="0" fillId="0" borderId="0" xfId="0" applyFont="1" applyAlignment="1">
      <alignment horizontal="left"/>
    </xf>
    <xf numFmtId="0" fontId="14" fillId="0" borderId="0" xfId="0" applyFont="1" applyBorder="1" applyAlignment="1">
      <alignment horizontal="center"/>
    </xf>
    <xf numFmtId="0" fontId="0" fillId="45" borderId="61" xfId="0" applyFont="1" applyFill="1" applyBorder="1" applyAlignment="1">
      <alignment horizontal="right" vertical="center"/>
    </xf>
    <xf numFmtId="0" fontId="167" fillId="0" borderId="0" xfId="0" applyFont="1" applyBorder="1" applyAlignment="1">
      <alignment horizontal="center" vertical="center"/>
    </xf>
    <xf numFmtId="0" fontId="167" fillId="0" borderId="0" xfId="0" applyFont="1" applyBorder="1" applyAlignment="1">
      <alignment horizontal="center" vertical="center" wrapText="1"/>
    </xf>
    <xf numFmtId="0" fontId="164" fillId="0" borderId="0" xfId="0" applyFont="1" applyBorder="1" applyAlignment="1">
      <alignment horizontal="center" vertical="center"/>
    </xf>
    <xf numFmtId="0" fontId="96" fillId="0" borderId="0" xfId="0" applyFont="1" applyFill="1" applyBorder="1" applyAlignment="1">
      <alignment horizontal="left" vertical="center"/>
    </xf>
    <xf numFmtId="0" fontId="168" fillId="0" borderId="0" xfId="0" applyFont="1" applyFill="1" applyBorder="1" applyAlignment="1">
      <alignment horizontal="center" vertical="center" wrapText="1"/>
    </xf>
    <xf numFmtId="0" fontId="168" fillId="0" borderId="0" xfId="0" applyFont="1" applyFill="1" applyBorder="1" applyAlignment="1">
      <alignment horizontal="left" vertical="center" wrapText="1"/>
    </xf>
    <xf numFmtId="0" fontId="165" fillId="0" borderId="0" xfId="0" applyFont="1" applyFill="1" applyBorder="1" applyAlignment="1">
      <alignment horizontal="center" vertical="center" wrapText="1"/>
    </xf>
    <xf numFmtId="0" fontId="16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65" fillId="0" borderId="0" xfId="0" applyFont="1" applyFill="1" applyBorder="1" applyAlignment="1">
      <alignment horizontal="left" vertical="center" wrapText="1"/>
    </xf>
    <xf numFmtId="0" fontId="161" fillId="0" borderId="0" xfId="0" applyFont="1" applyFill="1" applyBorder="1" applyAlignment="1">
      <alignment horizontal="right" vertical="center" wrapText="1"/>
    </xf>
    <xf numFmtId="0" fontId="161" fillId="0" borderId="0" xfId="0" applyFont="1"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10" fillId="33" borderId="15" xfId="0" applyFont="1" applyFill="1" applyBorder="1" applyAlignment="1">
      <alignment horizontal="center" vertical="center" wrapText="1"/>
    </xf>
    <xf numFmtId="1" fontId="8" fillId="44" borderId="61" xfId="0" applyNumberFormat="1" applyFont="1" applyFill="1" applyBorder="1" applyAlignment="1" applyProtection="1">
      <alignment horizontal="center" vertical="center"/>
      <protection locked="0"/>
    </xf>
    <xf numFmtId="1" fontId="11" fillId="45" borderId="62" xfId="0" applyNumberFormat="1" applyFont="1" applyFill="1" applyBorder="1" applyAlignment="1">
      <alignment horizontal="left" vertical="center"/>
    </xf>
    <xf numFmtId="1" fontId="8" fillId="43" borderId="54" xfId="0" applyNumberFormat="1" applyFont="1" applyFill="1" applyBorder="1" applyAlignment="1" applyProtection="1">
      <alignment horizontal="center" vertical="center"/>
      <protection locked="0"/>
    </xf>
    <xf numFmtId="1" fontId="8" fillId="43" borderId="64" xfId="0" applyNumberFormat="1" applyFont="1" applyFill="1" applyBorder="1" applyAlignment="1" applyProtection="1">
      <alignment horizontal="center" vertical="center"/>
      <protection locked="0"/>
    </xf>
    <xf numFmtId="1" fontId="158" fillId="42" borderId="0" xfId="0" applyNumberFormat="1" applyFont="1" applyFill="1" applyAlignment="1">
      <alignment horizontal="center"/>
    </xf>
    <xf numFmtId="1" fontId="164" fillId="42" borderId="0" xfId="0" applyNumberFormat="1" applyFont="1" applyFill="1" applyAlignment="1">
      <alignment horizontal="right" vertical="center"/>
    </xf>
    <xf numFmtId="1" fontId="164" fillId="42" borderId="0" xfId="0" applyNumberFormat="1" applyFont="1" applyFill="1" applyAlignment="1">
      <alignment/>
    </xf>
    <xf numFmtId="0" fontId="10" fillId="12" borderId="10" xfId="0" applyFont="1" applyFill="1" applyBorder="1" applyAlignment="1">
      <alignment horizontal="center" vertical="center" wrapText="1"/>
    </xf>
    <xf numFmtId="0" fontId="10" fillId="41" borderId="58" xfId="0" applyFont="1" applyFill="1" applyBorder="1" applyAlignment="1" quotePrefix="1">
      <alignment horizontal="right" vertical="center"/>
    </xf>
    <xf numFmtId="0" fontId="10" fillId="41" borderId="54" xfId="0" applyFont="1" applyFill="1" applyBorder="1" applyAlignment="1" quotePrefix="1">
      <alignment horizontal="right" vertical="center"/>
    </xf>
    <xf numFmtId="0" fontId="96" fillId="45" borderId="65" xfId="0" applyFont="1" applyFill="1" applyBorder="1" applyAlignment="1">
      <alignment horizontal="left" vertical="center" wrapText="1"/>
    </xf>
    <xf numFmtId="0" fontId="96" fillId="45" borderId="66" xfId="0" applyFont="1" applyFill="1" applyBorder="1" applyAlignment="1">
      <alignment horizontal="left" vertical="center"/>
    </xf>
    <xf numFmtId="0" fontId="16" fillId="33" borderId="10"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96" fillId="45" borderId="67" xfId="0" applyFont="1" applyFill="1" applyBorder="1" applyAlignment="1">
      <alignment horizontal="center" vertical="center"/>
    </xf>
    <xf numFmtId="0" fontId="96" fillId="45" borderId="68" xfId="0" applyFont="1" applyFill="1" applyBorder="1" applyAlignment="1">
      <alignment horizontal="center" vertical="center"/>
    </xf>
    <xf numFmtId="0" fontId="96" fillId="45" borderId="69" xfId="0" applyFont="1" applyFill="1" applyBorder="1" applyAlignment="1">
      <alignment horizontal="center" vertical="center"/>
    </xf>
    <xf numFmtId="0" fontId="165" fillId="0" borderId="47" xfId="0" applyFont="1" applyBorder="1" applyAlignment="1">
      <alignment horizontal="center" vertical="center" wrapText="1"/>
    </xf>
    <xf numFmtId="0" fontId="165" fillId="0" borderId="0" xfId="0" applyFont="1" applyBorder="1" applyAlignment="1">
      <alignment horizontal="center" vertical="center" wrapText="1"/>
    </xf>
    <xf numFmtId="0" fontId="165" fillId="0" borderId="60" xfId="0" applyFont="1" applyBorder="1" applyAlignment="1">
      <alignment horizontal="center" vertical="center" wrapText="1"/>
    </xf>
    <xf numFmtId="0" fontId="22" fillId="45" borderId="70" xfId="0" applyFont="1" applyFill="1" applyBorder="1" applyAlignment="1" applyProtection="1">
      <alignment horizontal="right"/>
      <protection/>
    </xf>
    <xf numFmtId="0" fontId="22" fillId="45" borderId="62" xfId="0" applyFont="1" applyFill="1" applyBorder="1" applyAlignment="1" applyProtection="1">
      <alignment horizontal="right"/>
      <protection/>
    </xf>
    <xf numFmtId="0" fontId="9" fillId="43" borderId="62" xfId="0" applyFont="1" applyFill="1" applyBorder="1" applyAlignment="1" applyProtection="1">
      <alignment horizontal="left"/>
      <protection locked="0"/>
    </xf>
    <xf numFmtId="0" fontId="9" fillId="43" borderId="71" xfId="0" applyFont="1" applyFill="1" applyBorder="1" applyAlignment="1" applyProtection="1">
      <alignment horizontal="left"/>
      <protection locked="0"/>
    </xf>
    <xf numFmtId="0" fontId="22" fillId="43" borderId="62" xfId="0" applyFont="1" applyFill="1" applyBorder="1" applyAlignment="1" applyProtection="1">
      <alignment horizontal="left"/>
      <protection locked="0"/>
    </xf>
    <xf numFmtId="0" fontId="22" fillId="43" borderId="63" xfId="0" applyFont="1" applyFill="1" applyBorder="1" applyAlignment="1" applyProtection="1">
      <alignment horizontal="left"/>
      <protection locked="0"/>
    </xf>
    <xf numFmtId="0" fontId="166" fillId="0" borderId="0" xfId="0" applyFont="1" applyBorder="1" applyAlignment="1">
      <alignment horizontal="left" vertical="top"/>
    </xf>
    <xf numFmtId="0" fontId="7" fillId="12" borderId="59" xfId="0" applyFont="1" applyFill="1" applyBorder="1" applyAlignment="1">
      <alignment horizontal="center" vertical="center" wrapText="1"/>
    </xf>
    <xf numFmtId="0" fontId="96" fillId="45" borderId="15" xfId="0" applyFont="1" applyFill="1" applyBorder="1" applyAlignment="1">
      <alignment horizontal="left" vertical="center"/>
    </xf>
    <xf numFmtId="0" fontId="96" fillId="45" borderId="72" xfId="0" applyFont="1" applyFill="1" applyBorder="1" applyAlignment="1">
      <alignment horizontal="left" vertical="center"/>
    </xf>
    <xf numFmtId="0" fontId="96" fillId="45" borderId="73" xfId="0" applyFont="1" applyFill="1" applyBorder="1" applyAlignment="1">
      <alignment horizontal="left" vertical="center"/>
    </xf>
    <xf numFmtId="0" fontId="96" fillId="45" borderId="14" xfId="0" applyFont="1" applyFill="1" applyBorder="1" applyAlignment="1">
      <alignment horizontal="left" vertical="center"/>
    </xf>
    <xf numFmtId="1" fontId="11" fillId="0" borderId="54" xfId="0" applyNumberFormat="1" applyFont="1" applyFill="1" applyBorder="1" applyAlignment="1">
      <alignment horizontal="center" vertical="center"/>
    </xf>
    <xf numFmtId="1" fontId="11" fillId="0" borderId="64" xfId="0" applyNumberFormat="1" applyFont="1" applyFill="1" applyBorder="1" applyAlignment="1">
      <alignment horizontal="center" vertical="center"/>
    </xf>
    <xf numFmtId="0" fontId="0" fillId="0" borderId="10" xfId="0" applyFont="1" applyBorder="1" applyAlignment="1" quotePrefix="1">
      <alignment horizontal="left" vertical="center" wrapText="1"/>
    </xf>
    <xf numFmtId="0" fontId="0" fillId="0" borderId="10" xfId="0" applyBorder="1" applyAlignment="1">
      <alignment horizontal="left" vertical="center"/>
    </xf>
    <xf numFmtId="0" fontId="0" fillId="33" borderId="10" xfId="0" applyFont="1" applyFill="1" applyBorder="1" applyAlignment="1">
      <alignment horizontal="left" vertical="center"/>
    </xf>
    <xf numFmtId="0" fontId="0" fillId="33" borderId="15" xfId="0" applyFont="1" applyFill="1" applyBorder="1" applyAlignment="1">
      <alignment horizontal="left" vertical="center"/>
    </xf>
    <xf numFmtId="0" fontId="25" fillId="0" borderId="47"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60" xfId="0" applyFont="1" applyBorder="1" applyAlignment="1">
      <alignment horizontal="center" vertical="center" wrapText="1"/>
    </xf>
    <xf numFmtId="0" fontId="168" fillId="47" borderId="74" xfId="0" applyFont="1" applyFill="1" applyBorder="1" applyAlignment="1">
      <alignment horizontal="center" vertical="center" wrapText="1"/>
    </xf>
    <xf numFmtId="0" fontId="168" fillId="47" borderId="73" xfId="0" applyFont="1" applyFill="1" applyBorder="1" applyAlignment="1">
      <alignment horizontal="center" vertical="center" wrapText="1"/>
    </xf>
    <xf numFmtId="0" fontId="168" fillId="47" borderId="75" xfId="0" applyFont="1" applyFill="1" applyBorder="1" applyAlignment="1">
      <alignment horizontal="center" vertical="center" wrapText="1"/>
    </xf>
    <xf numFmtId="0" fontId="168" fillId="47" borderId="76" xfId="0" applyFont="1" applyFill="1" applyBorder="1" applyAlignment="1">
      <alignment horizontal="center" vertical="center" wrapText="1"/>
    </xf>
    <xf numFmtId="0" fontId="168" fillId="47" borderId="77" xfId="0" applyFont="1" applyFill="1" applyBorder="1" applyAlignment="1">
      <alignment horizontal="center" vertical="center" wrapText="1"/>
    </xf>
    <xf numFmtId="0" fontId="168" fillId="47" borderId="78" xfId="0" applyFont="1" applyFill="1" applyBorder="1" applyAlignment="1">
      <alignment horizontal="center" vertical="center" wrapText="1"/>
    </xf>
    <xf numFmtId="0" fontId="169" fillId="45" borderId="61" xfId="0" applyFont="1" applyFill="1" applyBorder="1" applyAlignment="1">
      <alignment horizontal="center" vertical="center"/>
    </xf>
    <xf numFmtId="0" fontId="169" fillId="45" borderId="62" xfId="0" applyFont="1" applyFill="1" applyBorder="1" applyAlignment="1">
      <alignment horizontal="center" vertical="center"/>
    </xf>
    <xf numFmtId="0" fontId="169" fillId="45" borderId="63" xfId="0" applyFont="1" applyFill="1" applyBorder="1" applyAlignment="1">
      <alignment horizontal="center" vertical="center"/>
    </xf>
    <xf numFmtId="0" fontId="0" fillId="45" borderId="70" xfId="0" applyFont="1" applyFill="1" applyBorder="1" applyAlignment="1">
      <alignment horizontal="right" vertical="center"/>
    </xf>
    <xf numFmtId="0" fontId="0" fillId="45" borderId="63" xfId="0" applyFont="1" applyFill="1" applyBorder="1" applyAlignment="1">
      <alignment horizontal="right" vertical="center"/>
    </xf>
    <xf numFmtId="0" fontId="10" fillId="41" borderId="59" xfId="0" applyFont="1" applyFill="1" applyBorder="1" applyAlignment="1" quotePrefix="1">
      <alignment horizontal="right" vertical="center"/>
    </xf>
    <xf numFmtId="0" fontId="10" fillId="41" borderId="10" xfId="0" applyFont="1" applyFill="1" applyBorder="1" applyAlignment="1" quotePrefix="1">
      <alignment horizontal="right" vertical="center"/>
    </xf>
    <xf numFmtId="0" fontId="170" fillId="42" borderId="59" xfId="0" applyFont="1" applyFill="1" applyBorder="1" applyAlignment="1" quotePrefix="1">
      <alignment horizontal="left" vertical="center"/>
    </xf>
    <xf numFmtId="0" fontId="170" fillId="42" borderId="10" xfId="0" applyFont="1" applyFill="1" applyBorder="1" applyAlignment="1" quotePrefix="1">
      <alignment horizontal="left" vertical="center"/>
    </xf>
    <xf numFmtId="0" fontId="16" fillId="37" borderId="10" xfId="0" applyFont="1" applyFill="1" applyBorder="1" applyAlignment="1">
      <alignment horizontal="center" vertical="center" wrapText="1"/>
    </xf>
    <xf numFmtId="0" fontId="168" fillId="47" borderId="15" xfId="0" applyFont="1" applyFill="1" applyBorder="1" applyAlignment="1">
      <alignment horizontal="left" vertical="center" wrapText="1"/>
    </xf>
    <xf numFmtId="0" fontId="168" fillId="47" borderId="72" xfId="0" applyFont="1" applyFill="1" applyBorder="1" applyAlignment="1">
      <alignment horizontal="left" vertical="center" wrapText="1"/>
    </xf>
    <xf numFmtId="0" fontId="163" fillId="0" borderId="10" xfId="0" applyFont="1" applyBorder="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16" fillId="33" borderId="15"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22" fillId="41" borderId="59" xfId="0" applyFont="1" applyFill="1" applyBorder="1" applyAlignment="1" quotePrefix="1">
      <alignment horizontal="left" vertical="center"/>
    </xf>
    <xf numFmtId="0" fontId="22" fillId="41" borderId="10" xfId="0" applyFont="1" applyFill="1" applyBorder="1" applyAlignment="1" quotePrefix="1">
      <alignment horizontal="left" vertical="center"/>
    </xf>
    <xf numFmtId="0" fontId="0" fillId="35" borderId="10" xfId="0" applyFont="1" applyFill="1" applyBorder="1" applyAlignment="1">
      <alignment horizontal="left" vertical="center"/>
    </xf>
    <xf numFmtId="0" fontId="0" fillId="35" borderId="10" xfId="0" applyFill="1" applyBorder="1" applyAlignment="1">
      <alignment horizontal="left" vertical="center"/>
    </xf>
    <xf numFmtId="0" fontId="0" fillId="35" borderId="10" xfId="0" applyFont="1" applyFill="1" applyBorder="1" applyAlignment="1">
      <alignment horizontal="left" vertical="center"/>
    </xf>
    <xf numFmtId="0" fontId="11" fillId="33" borderId="15"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67" fillId="0" borderId="77" xfId="0" applyFont="1" applyBorder="1" applyAlignment="1">
      <alignment horizontal="center" vertical="center"/>
    </xf>
    <xf numFmtId="0" fontId="165" fillId="35" borderId="47" xfId="0" applyFont="1" applyFill="1" applyBorder="1" applyAlignment="1">
      <alignment horizontal="center" vertical="center" wrapText="1"/>
    </xf>
    <xf numFmtId="0" fontId="165" fillId="35" borderId="0" xfId="0" applyFont="1" applyFill="1" applyBorder="1" applyAlignment="1">
      <alignment horizontal="center" vertical="center" wrapText="1"/>
    </xf>
    <xf numFmtId="0" fontId="165" fillId="35" borderId="60" xfId="0" applyFont="1" applyFill="1" applyBorder="1" applyAlignment="1">
      <alignment horizontal="center" vertical="center" wrapText="1"/>
    </xf>
    <xf numFmtId="0" fontId="16" fillId="32" borderId="10" xfId="0" applyFont="1" applyFill="1" applyBorder="1" applyAlignment="1">
      <alignment horizontal="center" vertical="center" wrapText="1"/>
    </xf>
    <xf numFmtId="0" fontId="96" fillId="48" borderId="15" xfId="0" applyFont="1" applyFill="1" applyBorder="1" applyAlignment="1">
      <alignment horizontal="left" vertical="center"/>
    </xf>
    <xf numFmtId="0" fontId="96" fillId="48" borderId="72" xfId="0" applyFont="1" applyFill="1" applyBorder="1" applyAlignment="1">
      <alignment horizontal="left" vertical="center"/>
    </xf>
    <xf numFmtId="0" fontId="96" fillId="48" borderId="14" xfId="0" applyFont="1" applyFill="1" applyBorder="1" applyAlignment="1">
      <alignment horizontal="left" vertical="center"/>
    </xf>
    <xf numFmtId="1" fontId="0" fillId="35" borderId="74" xfId="0" applyNumberFormat="1" applyFill="1" applyBorder="1" applyAlignment="1">
      <alignment horizontal="center" vertical="center"/>
    </xf>
    <xf numFmtId="0" fontId="0" fillId="35" borderId="73" xfId="0" applyFill="1" applyBorder="1" applyAlignment="1">
      <alignment horizontal="center" vertical="center"/>
    </xf>
    <xf numFmtId="0" fontId="0" fillId="35" borderId="75" xfId="0" applyFill="1" applyBorder="1" applyAlignment="1">
      <alignment horizontal="center" vertical="center"/>
    </xf>
    <xf numFmtId="0" fontId="0" fillId="35" borderId="47" xfId="0" applyFill="1" applyBorder="1" applyAlignment="1">
      <alignment horizontal="center" vertical="center"/>
    </xf>
    <xf numFmtId="0" fontId="0" fillId="35" borderId="0" xfId="0" applyFill="1" applyBorder="1" applyAlignment="1">
      <alignment horizontal="center" vertical="center"/>
    </xf>
    <xf numFmtId="0" fontId="0" fillId="35" borderId="60" xfId="0" applyFill="1" applyBorder="1" applyAlignment="1">
      <alignment horizontal="center" vertical="center"/>
    </xf>
    <xf numFmtId="0" fontId="0" fillId="35" borderId="76" xfId="0" applyFill="1" applyBorder="1" applyAlignment="1">
      <alignment horizontal="center" vertical="center"/>
    </xf>
    <xf numFmtId="0" fontId="0" fillId="35" borderId="77" xfId="0" applyFill="1" applyBorder="1" applyAlignment="1">
      <alignment horizontal="center" vertical="center"/>
    </xf>
    <xf numFmtId="0" fontId="0" fillId="35" borderId="78" xfId="0" applyFill="1" applyBorder="1" applyAlignment="1">
      <alignment horizontal="center" vertical="center"/>
    </xf>
    <xf numFmtId="0" fontId="0" fillId="35" borderId="10"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72" xfId="0" applyFont="1" applyFill="1" applyBorder="1" applyAlignment="1">
      <alignment horizontal="left" vertical="center"/>
    </xf>
    <xf numFmtId="0" fontId="0" fillId="35" borderId="14" xfId="0" applyFont="1" applyFill="1" applyBorder="1" applyAlignment="1">
      <alignment horizontal="left" vertical="center"/>
    </xf>
    <xf numFmtId="0" fontId="32" fillId="0" borderId="0" xfId="0" applyFont="1" applyAlignment="1">
      <alignment horizontal="left"/>
    </xf>
    <xf numFmtId="0" fontId="0" fillId="0" borderId="0" xfId="0" applyFont="1" applyAlignment="1">
      <alignment horizontal="left"/>
    </xf>
    <xf numFmtId="0" fontId="14" fillId="0" borderId="0" xfId="0" applyFont="1" applyBorder="1" applyAlignment="1">
      <alignment horizontal="center"/>
    </xf>
    <xf numFmtId="0" fontId="4" fillId="45" borderId="65" xfId="0" applyFont="1" applyFill="1" applyBorder="1" applyAlignment="1">
      <alignment horizontal="center" vertical="center"/>
    </xf>
    <xf numFmtId="0" fontId="4" fillId="45" borderId="66" xfId="0" applyFont="1" applyFill="1" applyBorder="1" applyAlignment="1">
      <alignment horizontal="center" vertical="center"/>
    </xf>
    <xf numFmtId="0" fontId="4" fillId="45" borderId="80" xfId="0" applyFont="1" applyFill="1" applyBorder="1" applyAlignment="1">
      <alignment horizontal="center" vertical="center"/>
    </xf>
    <xf numFmtId="0" fontId="23" fillId="45" borderId="81" xfId="0" applyFont="1" applyFill="1" applyBorder="1" applyAlignment="1" applyProtection="1">
      <alignment horizontal="right"/>
      <protection locked="0"/>
    </xf>
    <xf numFmtId="0" fontId="23" fillId="45" borderId="72" xfId="0" applyFont="1" applyFill="1" applyBorder="1" applyAlignment="1" applyProtection="1">
      <alignment horizontal="right"/>
      <protection locked="0"/>
    </xf>
    <xf numFmtId="0" fontId="0" fillId="45" borderId="61" xfId="0" applyFont="1" applyFill="1" applyBorder="1" applyAlignment="1">
      <alignment horizontal="right" vertical="center"/>
    </xf>
    <xf numFmtId="0" fontId="0" fillId="45" borderId="62" xfId="0" applyFont="1" applyFill="1" applyBorder="1" applyAlignment="1">
      <alignment horizontal="right" vertical="center"/>
    </xf>
    <xf numFmtId="0" fontId="165" fillId="35" borderId="47" xfId="0" applyFont="1" applyFill="1" applyBorder="1" applyAlignment="1">
      <alignment horizontal="left" vertical="center" wrapText="1"/>
    </xf>
    <xf numFmtId="0" fontId="165" fillId="35" borderId="0" xfId="0" applyFont="1" applyFill="1" applyBorder="1" applyAlignment="1">
      <alignment horizontal="left" vertical="center" wrapText="1"/>
    </xf>
    <xf numFmtId="0" fontId="165" fillId="35" borderId="60" xfId="0" applyFont="1" applyFill="1" applyBorder="1" applyAlignment="1">
      <alignment horizontal="left" vertical="center" wrapText="1"/>
    </xf>
    <xf numFmtId="0" fontId="6" fillId="43" borderId="72" xfId="0" applyFont="1" applyFill="1" applyBorder="1" applyAlignment="1" applyProtection="1">
      <alignment horizontal="left"/>
      <protection locked="0"/>
    </xf>
    <xf numFmtId="0" fontId="6" fillId="43" borderId="79" xfId="0" applyFont="1" applyFill="1" applyBorder="1" applyAlignment="1" applyProtection="1">
      <alignment horizontal="left"/>
      <protection locked="0"/>
    </xf>
    <xf numFmtId="0" fontId="0" fillId="33" borderId="72" xfId="0" applyFont="1" applyFill="1" applyBorder="1" applyAlignment="1">
      <alignment horizontal="left" vertical="center"/>
    </xf>
    <xf numFmtId="0" fontId="0" fillId="33" borderId="72" xfId="0" applyFont="1" applyFill="1" applyBorder="1" applyAlignment="1">
      <alignment horizontal="left" vertical="center"/>
    </xf>
    <xf numFmtId="0" fontId="167" fillId="0" borderId="82" xfId="0" applyFont="1" applyBorder="1" applyAlignment="1">
      <alignment horizontal="center" vertical="center" wrapText="1"/>
    </xf>
    <xf numFmtId="0" fontId="167" fillId="0" borderId="72" xfId="0" applyFont="1" applyBorder="1" applyAlignment="1">
      <alignment horizontal="center" vertical="center" wrapText="1"/>
    </xf>
    <xf numFmtId="0" fontId="171" fillId="41" borderId="59" xfId="0" applyFont="1" applyFill="1" applyBorder="1" applyAlignment="1" quotePrefix="1">
      <alignment horizontal="left" vertical="center"/>
    </xf>
    <xf numFmtId="0" fontId="171" fillId="41" borderId="10" xfId="0" applyFont="1" applyFill="1" applyBorder="1" applyAlignment="1" quotePrefix="1">
      <alignment horizontal="left" vertical="center"/>
    </xf>
    <xf numFmtId="0" fontId="161" fillId="0" borderId="47" xfId="0" applyFont="1" applyBorder="1" applyAlignment="1">
      <alignment horizontal="left" vertical="center" wrapText="1"/>
    </xf>
    <xf numFmtId="0" fontId="161" fillId="0" borderId="0" xfId="0" applyFont="1" applyBorder="1" applyAlignment="1">
      <alignment horizontal="left" vertical="center" wrapText="1"/>
    </xf>
    <xf numFmtId="0" fontId="161" fillId="0" borderId="60" xfId="0" applyFont="1" applyBorder="1" applyAlignment="1">
      <alignment horizontal="left" vertical="center" wrapText="1"/>
    </xf>
    <xf numFmtId="0" fontId="164" fillId="0" borderId="15" xfId="0" applyFont="1" applyBorder="1" applyAlignment="1">
      <alignment horizontal="center" vertical="center"/>
    </xf>
    <xf numFmtId="0" fontId="164" fillId="0" borderId="72" xfId="0" applyFont="1" applyBorder="1" applyAlignment="1">
      <alignment horizontal="center" vertical="center"/>
    </xf>
    <xf numFmtId="0" fontId="164" fillId="0" borderId="14" xfId="0" applyFont="1" applyBorder="1" applyAlignment="1">
      <alignment horizontal="center" vertical="center"/>
    </xf>
    <xf numFmtId="0" fontId="165" fillId="0" borderId="74" xfId="0" applyFont="1" applyBorder="1" applyAlignment="1">
      <alignment horizontal="center" vertical="center" wrapText="1"/>
    </xf>
    <xf numFmtId="0" fontId="165" fillId="0" borderId="73" xfId="0" applyFont="1" applyBorder="1" applyAlignment="1">
      <alignment horizontal="center" vertical="center" wrapText="1"/>
    </xf>
    <xf numFmtId="0" fontId="165" fillId="0" borderId="75" xfId="0" applyFont="1" applyBorder="1" applyAlignment="1">
      <alignment horizontal="center" vertical="center" wrapText="1"/>
    </xf>
    <xf numFmtId="0" fontId="164" fillId="0" borderId="47" xfId="0" applyFont="1" applyBorder="1" applyAlignment="1">
      <alignment horizontal="center" vertical="center" wrapText="1"/>
    </xf>
    <xf numFmtId="0" fontId="164" fillId="0" borderId="0" xfId="0" applyFont="1" applyBorder="1" applyAlignment="1">
      <alignment horizontal="center" vertical="center" wrapText="1"/>
    </xf>
    <xf numFmtId="0" fontId="164" fillId="0" borderId="60" xfId="0" applyFont="1" applyBorder="1" applyAlignment="1">
      <alignment horizontal="center" vertical="center" wrapText="1"/>
    </xf>
    <xf numFmtId="0" fontId="161" fillId="0" borderId="76" xfId="0" applyFont="1" applyBorder="1" applyAlignment="1">
      <alignment horizontal="right" vertical="center" wrapText="1"/>
    </xf>
    <xf numFmtId="0" fontId="161" fillId="0" borderId="77" xfId="0" applyFont="1" applyBorder="1" applyAlignment="1">
      <alignment horizontal="right" vertical="center" wrapText="1"/>
    </xf>
    <xf numFmtId="0" fontId="161" fillId="0" borderId="78" xfId="0" applyFont="1" applyBorder="1" applyAlignment="1">
      <alignment horizontal="right" vertical="center" wrapText="1"/>
    </xf>
    <xf numFmtId="0" fontId="33" fillId="46" borderId="25" xfId="0" applyFont="1" applyFill="1" applyBorder="1" applyAlignment="1" applyProtection="1">
      <alignment horizontal="center" vertical="center"/>
      <protection/>
    </xf>
    <xf numFmtId="0" fontId="39" fillId="35" borderId="83" xfId="0" applyFont="1" applyFill="1" applyBorder="1" applyAlignment="1" applyProtection="1">
      <alignment horizontal="center" vertical="center"/>
      <protection/>
    </xf>
    <xf numFmtId="0" fontId="39" fillId="35" borderId="84" xfId="0" applyFont="1" applyFill="1" applyBorder="1" applyAlignment="1" applyProtection="1">
      <alignment horizontal="center" vertical="center"/>
      <protection/>
    </xf>
    <xf numFmtId="0" fontId="39" fillId="35" borderId="83" xfId="0" applyFont="1" applyFill="1" applyBorder="1" applyAlignment="1" applyProtection="1">
      <alignment horizontal="left" vertical="center"/>
      <protection/>
    </xf>
    <xf numFmtId="0" fontId="39" fillId="35" borderId="85" xfId="0" applyFont="1" applyFill="1" applyBorder="1" applyAlignment="1" applyProtection="1">
      <alignment horizontal="left" vertical="center"/>
      <protection/>
    </xf>
    <xf numFmtId="0" fontId="39" fillId="35" borderId="86" xfId="0" applyFont="1" applyFill="1" applyBorder="1" applyAlignment="1" applyProtection="1">
      <alignment horizontal="left" vertical="center"/>
      <protection/>
    </xf>
    <xf numFmtId="0" fontId="42" fillId="46" borderId="87" xfId="0" applyFont="1" applyFill="1" applyBorder="1" applyAlignment="1" applyProtection="1">
      <alignment vertical="center"/>
      <protection/>
    </xf>
    <xf numFmtId="0" fontId="42" fillId="46" borderId="77" xfId="0" applyFont="1" applyFill="1" applyBorder="1" applyAlignment="1" applyProtection="1">
      <alignment vertical="center"/>
      <protection/>
    </xf>
    <xf numFmtId="0" fontId="42" fillId="46" borderId="88" xfId="0" applyFont="1" applyFill="1" applyBorder="1" applyAlignment="1" applyProtection="1">
      <alignment vertical="center"/>
      <protection/>
    </xf>
    <xf numFmtId="0" fontId="45" fillId="39" borderId="10" xfId="0" applyFont="1" applyFill="1" applyBorder="1" applyAlignment="1" applyProtection="1">
      <alignment horizontal="center" vertical="center" wrapText="1"/>
      <protection/>
    </xf>
    <xf numFmtId="3" fontId="45" fillId="39" borderId="16" xfId="0" applyNumberFormat="1" applyFont="1" applyFill="1" applyBorder="1" applyAlignment="1" applyProtection="1">
      <alignment horizontal="center" vertical="center" wrapText="1"/>
      <protection/>
    </xf>
    <xf numFmtId="0" fontId="52" fillId="0" borderId="89" xfId="0" applyFont="1" applyFill="1" applyBorder="1" applyAlignment="1" applyProtection="1">
      <alignment horizontal="center" vertical="center" wrapText="1"/>
      <protection/>
    </xf>
    <xf numFmtId="0" fontId="42" fillId="46" borderId="44" xfId="0" applyFont="1" applyFill="1" applyBorder="1" applyAlignment="1" applyProtection="1">
      <alignment horizontal="left" vertical="center" wrapText="1"/>
      <protection/>
    </xf>
    <xf numFmtId="0" fontId="42" fillId="46" borderId="45" xfId="0" applyFont="1" applyFill="1" applyBorder="1" applyAlignment="1" applyProtection="1">
      <alignment horizontal="left" vertical="center" wrapText="1"/>
      <protection/>
    </xf>
    <xf numFmtId="0" fontId="42" fillId="46" borderId="90" xfId="0" applyFont="1" applyFill="1" applyBorder="1" applyAlignment="1" applyProtection="1">
      <alignment horizontal="left" vertical="center" wrapText="1"/>
      <protection/>
    </xf>
    <xf numFmtId="0" fontId="56" fillId="0" borderId="26" xfId="0" applyFont="1" applyFill="1" applyBorder="1" applyAlignment="1" applyProtection="1">
      <alignment horizontal="center" vertical="center" wrapText="1"/>
      <protection/>
    </xf>
    <xf numFmtId="0" fontId="56" fillId="49" borderId="0" xfId="0" applyFont="1" applyFill="1" applyBorder="1" applyAlignment="1" applyProtection="1">
      <alignment horizontal="center" vertical="center" wrapText="1"/>
      <protection/>
    </xf>
    <xf numFmtId="0" fontId="45" fillId="39" borderId="91" xfId="0" applyFont="1" applyFill="1" applyBorder="1" applyAlignment="1" applyProtection="1">
      <alignment horizontal="center" vertical="center" wrapText="1"/>
      <protection/>
    </xf>
    <xf numFmtId="0" fontId="45" fillId="39" borderId="11" xfId="0" applyFont="1" applyFill="1" applyBorder="1" applyAlignment="1" applyProtection="1">
      <alignment horizontal="center" vertical="center" wrapText="1"/>
      <protection/>
    </xf>
    <xf numFmtId="0" fontId="45" fillId="39" borderId="92" xfId="0" applyFont="1" applyFill="1" applyBorder="1" applyAlignment="1" applyProtection="1">
      <alignment horizontal="center" vertical="center" wrapText="1"/>
      <protection/>
    </xf>
    <xf numFmtId="0" fontId="56" fillId="0" borderId="25" xfId="0" applyFont="1" applyFill="1" applyBorder="1" applyAlignment="1" applyProtection="1">
      <alignment horizontal="center" vertical="center" wrapText="1"/>
      <protection/>
    </xf>
    <xf numFmtId="0" fontId="30" fillId="0" borderId="41" xfId="0" applyFont="1" applyFill="1" applyBorder="1" applyAlignment="1" applyProtection="1">
      <alignment horizontal="left" vertical="center" wrapText="1"/>
      <protection/>
    </xf>
    <xf numFmtId="0" fontId="30" fillId="0" borderId="26" xfId="0" applyFont="1" applyFill="1" applyBorder="1" applyAlignment="1" applyProtection="1">
      <alignment horizontal="left" vertical="center" wrapText="1"/>
      <protection/>
    </xf>
    <xf numFmtId="0" fontId="30" fillId="0" borderId="93" xfId="0" applyFont="1" applyFill="1" applyBorder="1" applyAlignment="1" applyProtection="1">
      <alignment horizontal="left" vertical="center" wrapText="1"/>
      <protection/>
    </xf>
    <xf numFmtId="0" fontId="57" fillId="0" borderId="26" xfId="0" applyFont="1" applyFill="1" applyBorder="1" applyAlignment="1" applyProtection="1">
      <alignment horizontal="center" vertical="center" wrapText="1"/>
      <protection/>
    </xf>
    <xf numFmtId="0" fontId="57" fillId="0" borderId="93" xfId="0" applyFont="1" applyFill="1" applyBorder="1" applyAlignment="1" applyProtection="1">
      <alignment horizontal="center" vertical="center" wrapText="1"/>
      <protection/>
    </xf>
    <xf numFmtId="0" fontId="60" fillId="32" borderId="28" xfId="0" applyFont="1" applyFill="1" applyBorder="1" applyAlignment="1" applyProtection="1">
      <alignment horizontal="left" vertical="center"/>
      <protection/>
    </xf>
    <xf numFmtId="0" fontId="60" fillId="32" borderId="0" xfId="0" applyFont="1" applyFill="1" applyBorder="1" applyAlignment="1" applyProtection="1">
      <alignment horizontal="left" vertical="center"/>
      <protection/>
    </xf>
    <xf numFmtId="0" fontId="61" fillId="32" borderId="0" xfId="0" applyFont="1" applyFill="1" applyBorder="1" applyAlignment="1" applyProtection="1">
      <alignment horizontal="left" vertical="center" wrapText="1"/>
      <protection/>
    </xf>
    <xf numFmtId="0" fontId="61" fillId="32" borderId="94" xfId="0" applyFont="1" applyFill="1" applyBorder="1" applyAlignment="1" applyProtection="1">
      <alignment horizontal="left" vertical="center" wrapText="1"/>
      <protection/>
    </xf>
    <xf numFmtId="0" fontId="61" fillId="32" borderId="25" xfId="0" applyFont="1" applyFill="1" applyBorder="1" applyAlignment="1" applyProtection="1">
      <alignment horizontal="left" vertical="center" wrapText="1"/>
      <protection/>
    </xf>
    <xf numFmtId="0" fontId="61" fillId="32" borderId="95" xfId="0" applyFont="1" applyFill="1" applyBorder="1" applyAlignment="1" applyProtection="1">
      <alignment horizontal="left" vertical="center" wrapText="1"/>
      <protection/>
    </xf>
    <xf numFmtId="0" fontId="62" fillId="0" borderId="77" xfId="0" applyFont="1" applyBorder="1" applyAlignment="1" applyProtection="1">
      <alignment horizontal="center" vertical="center"/>
      <protection/>
    </xf>
    <xf numFmtId="0" fontId="62" fillId="0" borderId="88" xfId="0" applyFont="1" applyBorder="1" applyAlignment="1" applyProtection="1">
      <alignment horizontal="center" vertical="center"/>
      <protection/>
    </xf>
    <xf numFmtId="0" fontId="63" fillId="0" borderId="46" xfId="0" applyFont="1" applyBorder="1" applyAlignment="1" applyProtection="1">
      <alignment vertical="center"/>
      <protection/>
    </xf>
    <xf numFmtId="0" fontId="63" fillId="0" borderId="48" xfId="0" applyFont="1" applyBorder="1" applyAlignment="1" applyProtection="1">
      <alignment vertical="center"/>
      <protection/>
    </xf>
    <xf numFmtId="0" fontId="63" fillId="0" borderId="49" xfId="0" applyFont="1" applyBorder="1" applyAlignment="1" applyProtection="1">
      <alignment vertical="center"/>
      <protection/>
    </xf>
    <xf numFmtId="0" fontId="63" fillId="0" borderId="73" xfId="0" applyFont="1" applyBorder="1" applyAlignment="1" applyProtection="1">
      <alignment vertical="center"/>
      <protection/>
    </xf>
    <xf numFmtId="0" fontId="63" fillId="0" borderId="96" xfId="0" applyFont="1" applyBorder="1" applyAlignment="1" applyProtection="1">
      <alignment vertical="center"/>
      <protection/>
    </xf>
    <xf numFmtId="0" fontId="63" fillId="0" borderId="0" xfId="0" applyFont="1" applyBorder="1" applyAlignment="1" applyProtection="1">
      <alignment vertical="center"/>
      <protection/>
    </xf>
    <xf numFmtId="0" fontId="63" fillId="0" borderId="94" xfId="0" applyFont="1" applyBorder="1" applyAlignment="1" applyProtection="1">
      <alignment vertical="center"/>
      <protection/>
    </xf>
    <xf numFmtId="0" fontId="63" fillId="0" borderId="25" xfId="0" applyFont="1" applyBorder="1" applyAlignment="1" applyProtection="1">
      <alignment vertical="center"/>
      <protection/>
    </xf>
    <xf numFmtId="0" fontId="63" fillId="0" borderId="95" xfId="0" applyFont="1" applyBorder="1" applyAlignment="1" applyProtection="1">
      <alignment vertical="center"/>
      <protection/>
    </xf>
    <xf numFmtId="0" fontId="1" fillId="32" borderId="28" xfId="0" applyFont="1" applyFill="1" applyBorder="1" applyAlignment="1" applyProtection="1">
      <alignment horizontal="left" vertical="center"/>
      <protection/>
    </xf>
    <xf numFmtId="0" fontId="1" fillId="32" borderId="0" xfId="0" applyFont="1" applyFill="1" applyBorder="1" applyAlignment="1" applyProtection="1">
      <alignment horizontal="left" vertical="center"/>
      <protection/>
    </xf>
    <xf numFmtId="0" fontId="1" fillId="32" borderId="42" xfId="0" applyFont="1" applyFill="1" applyBorder="1" applyAlignment="1" applyProtection="1">
      <alignment horizontal="left" vertical="center"/>
      <protection/>
    </xf>
    <xf numFmtId="0" fontId="1" fillId="32" borderId="25" xfId="0" applyFont="1" applyFill="1" applyBorder="1" applyAlignment="1" applyProtection="1">
      <alignment horizontal="left" vertical="center"/>
      <protection/>
    </xf>
    <xf numFmtId="181" fontId="67" fillId="0" borderId="26" xfId="0" applyNumberFormat="1" applyFont="1" applyFill="1" applyBorder="1" applyAlignment="1" applyProtection="1">
      <alignment horizontal="left" vertical="center"/>
      <protection/>
    </xf>
    <xf numFmtId="0" fontId="73" fillId="0" borderId="0" xfId="0" applyFont="1" applyFill="1" applyBorder="1" applyAlignment="1" applyProtection="1">
      <alignment horizontal="center" vertical="center"/>
      <protection/>
    </xf>
    <xf numFmtId="0" fontId="27" fillId="10" borderId="44" xfId="0" applyFont="1" applyFill="1" applyBorder="1" applyAlignment="1" applyProtection="1">
      <alignment vertical="center"/>
      <protection/>
    </xf>
    <xf numFmtId="0" fontId="27" fillId="10" borderId="45" xfId="0" applyFont="1" applyFill="1" applyBorder="1" applyAlignment="1" applyProtection="1">
      <alignment vertical="center"/>
      <protection/>
    </xf>
    <xf numFmtId="0" fontId="27" fillId="10" borderId="90" xfId="0" applyFont="1" applyFill="1" applyBorder="1" applyAlignment="1" applyProtection="1">
      <alignment vertical="center"/>
      <protection/>
    </xf>
    <xf numFmtId="0" fontId="0" fillId="4" borderId="13" xfId="0" applyFont="1" applyFill="1" applyBorder="1" applyAlignment="1" applyProtection="1">
      <alignment horizontal="center" vertical="center"/>
      <protection/>
    </xf>
    <xf numFmtId="0" fontId="0" fillId="4" borderId="72" xfId="0" applyFont="1" applyFill="1" applyBorder="1" applyAlignment="1" applyProtection="1">
      <alignment horizontal="center" vertical="center"/>
      <protection/>
    </xf>
    <xf numFmtId="0" fontId="0" fillId="4" borderId="14" xfId="0" applyFont="1" applyFill="1" applyBorder="1" applyAlignment="1" applyProtection="1">
      <alignment horizontal="center" vertical="center"/>
      <protection/>
    </xf>
    <xf numFmtId="180" fontId="17" fillId="38" borderId="0" xfId="42" applyNumberFormat="1" applyFont="1" applyFill="1" applyBorder="1" applyAlignment="1" applyProtection="1">
      <alignment horizontal="center" vertical="center"/>
      <protection/>
    </xf>
    <xf numFmtId="0" fontId="41" fillId="4" borderId="13" xfId="0" applyFont="1" applyFill="1" applyBorder="1" applyAlignment="1" applyProtection="1">
      <alignment horizontal="center" vertical="center"/>
      <protection/>
    </xf>
    <xf numFmtId="0" fontId="41" fillId="4" borderId="72" xfId="0" applyFont="1" applyFill="1" applyBorder="1" applyAlignment="1" applyProtection="1">
      <alignment horizontal="center" vertical="center"/>
      <protection/>
    </xf>
    <xf numFmtId="0" fontId="41" fillId="4" borderId="14" xfId="0" applyFont="1" applyFill="1" applyBorder="1" applyAlignment="1" applyProtection="1">
      <alignment horizontal="center" vertical="center"/>
      <protection/>
    </xf>
    <xf numFmtId="0" fontId="41" fillId="4" borderId="97" xfId="0" applyFont="1" applyFill="1" applyBorder="1" applyAlignment="1" applyProtection="1">
      <alignment horizontal="center" vertical="center" wrapText="1"/>
      <protection/>
    </xf>
    <xf numFmtId="0" fontId="41" fillId="4" borderId="73" xfId="0" applyFont="1" applyFill="1" applyBorder="1" applyAlignment="1" applyProtection="1">
      <alignment horizontal="center" vertical="center" wrapText="1"/>
      <protection/>
    </xf>
    <xf numFmtId="0" fontId="41" fillId="4" borderId="75" xfId="0" applyFont="1" applyFill="1" applyBorder="1" applyAlignment="1" applyProtection="1">
      <alignment horizontal="center" vertical="center" wrapText="1"/>
      <protection/>
    </xf>
    <xf numFmtId="0" fontId="41" fillId="4" borderId="28" xfId="0" applyFont="1" applyFill="1" applyBorder="1" applyAlignment="1" applyProtection="1">
      <alignment horizontal="center" vertical="center" wrapText="1"/>
      <protection/>
    </xf>
    <xf numFmtId="0" fontId="41" fillId="4" borderId="0" xfId="0" applyFont="1" applyFill="1" applyBorder="1" applyAlignment="1" applyProtection="1">
      <alignment horizontal="center" vertical="center" wrapText="1"/>
      <protection/>
    </xf>
    <xf numFmtId="0" fontId="41" fillId="4" borderId="60" xfId="0" applyFont="1" applyFill="1" applyBorder="1" applyAlignment="1" applyProtection="1">
      <alignment horizontal="center" vertical="center" wrapText="1"/>
      <protection/>
    </xf>
    <xf numFmtId="0" fontId="41" fillId="4" borderId="87" xfId="0" applyFont="1" applyFill="1" applyBorder="1" applyAlignment="1" applyProtection="1">
      <alignment horizontal="center" vertical="center" wrapText="1"/>
      <protection/>
    </xf>
    <xf numFmtId="0" fontId="41" fillId="4" borderId="77" xfId="0" applyFont="1" applyFill="1" applyBorder="1" applyAlignment="1" applyProtection="1">
      <alignment horizontal="center" vertical="center" wrapText="1"/>
      <protection/>
    </xf>
    <xf numFmtId="0" fontId="41" fillId="4" borderId="78" xfId="0" applyFont="1" applyFill="1" applyBorder="1" applyAlignment="1" applyProtection="1">
      <alignment horizontal="center" vertical="center" wrapText="1"/>
      <protection/>
    </xf>
    <xf numFmtId="0" fontId="41" fillId="4" borderId="31" xfId="0" applyFont="1" applyFill="1" applyBorder="1" applyAlignment="1" applyProtection="1">
      <alignment horizontal="center" vertical="center"/>
      <protection/>
    </xf>
    <xf numFmtId="0" fontId="41" fillId="4" borderId="34" xfId="0" applyFont="1" applyFill="1" applyBorder="1" applyAlignment="1" applyProtection="1">
      <alignment horizontal="center" vertical="center"/>
      <protection/>
    </xf>
    <xf numFmtId="0" fontId="41" fillId="4" borderId="37" xfId="0" applyFont="1" applyFill="1" applyBorder="1" applyAlignment="1" applyProtection="1">
      <alignment horizontal="center" vertical="center"/>
      <protection/>
    </xf>
    <xf numFmtId="0" fontId="41" fillId="4" borderId="13" xfId="0" applyFont="1" applyFill="1" applyBorder="1" applyAlignment="1" applyProtection="1">
      <alignment horizontal="center" vertical="center" wrapText="1"/>
      <protection/>
    </xf>
    <xf numFmtId="0" fontId="41" fillId="4" borderId="72" xfId="0" applyFont="1" applyFill="1" applyBorder="1" applyAlignment="1" applyProtection="1">
      <alignment horizontal="center" vertical="center" wrapText="1"/>
      <protection/>
    </xf>
    <xf numFmtId="0" fontId="41" fillId="4" borderId="14" xfId="0" applyFont="1" applyFill="1" applyBorder="1" applyAlignment="1" applyProtection="1">
      <alignment horizontal="center" vertical="center" wrapText="1"/>
      <protection/>
    </xf>
    <xf numFmtId="0" fontId="41" fillId="4" borderId="39" xfId="0" applyFont="1" applyFill="1" applyBorder="1" applyAlignment="1" applyProtection="1">
      <alignment horizontal="center" vertical="center"/>
      <protection/>
    </xf>
    <xf numFmtId="10" fontId="87" fillId="10" borderId="47" xfId="42" applyNumberFormat="1" applyFont="1" applyFill="1" applyBorder="1" applyAlignment="1" applyProtection="1">
      <alignment horizontal="center" vertical="center" wrapText="1"/>
      <protection/>
    </xf>
    <xf numFmtId="10" fontId="87" fillId="10" borderId="98" xfId="42" applyNumberFormat="1" applyFont="1" applyFill="1" applyBorder="1" applyAlignment="1" applyProtection="1">
      <alignment horizontal="center" vertical="center" wrapText="1"/>
      <protection/>
    </xf>
    <xf numFmtId="10" fontId="87" fillId="37" borderId="28" xfId="42" applyNumberFormat="1" applyFont="1" applyFill="1" applyBorder="1" applyAlignment="1" applyProtection="1">
      <alignment horizontal="center" vertical="center" wrapText="1"/>
      <protection/>
    </xf>
    <xf numFmtId="0" fontId="39" fillId="4" borderId="97" xfId="0" applyFont="1" applyFill="1" applyBorder="1" applyAlignment="1" applyProtection="1">
      <alignment horizontal="center" vertical="center" wrapText="1"/>
      <protection/>
    </xf>
    <xf numFmtId="0" fontId="39" fillId="4" borderId="73" xfId="0" applyFont="1" applyFill="1" applyBorder="1" applyAlignment="1" applyProtection="1">
      <alignment horizontal="center" vertical="center" wrapText="1"/>
      <protection/>
    </xf>
    <xf numFmtId="0" fontId="39" fillId="4" borderId="75" xfId="0" applyFont="1" applyFill="1" applyBorder="1" applyAlignment="1" applyProtection="1">
      <alignment horizontal="center" vertical="center" wrapText="1"/>
      <protection/>
    </xf>
    <xf numFmtId="0" fontId="39" fillId="4" borderId="87" xfId="0" applyFont="1" applyFill="1" applyBorder="1" applyAlignment="1" applyProtection="1">
      <alignment horizontal="center" vertical="center" wrapText="1"/>
      <protection/>
    </xf>
    <xf numFmtId="0" fontId="39" fillId="4" borderId="77" xfId="0" applyFont="1" applyFill="1" applyBorder="1" applyAlignment="1" applyProtection="1">
      <alignment horizontal="center" vertical="center" wrapText="1"/>
      <protection/>
    </xf>
    <xf numFmtId="0" fontId="39" fillId="4" borderId="78" xfId="0" applyFont="1" applyFill="1" applyBorder="1" applyAlignment="1" applyProtection="1">
      <alignment horizontal="center" vertical="center" wrapText="1"/>
      <protection/>
    </xf>
    <xf numFmtId="0" fontId="41" fillId="4" borderId="37" xfId="0" applyFont="1" applyFill="1" applyBorder="1" applyAlignment="1" applyProtection="1">
      <alignment horizontal="center" vertical="center" wrapText="1"/>
      <protection/>
    </xf>
    <xf numFmtId="0" fontId="11" fillId="4" borderId="18" xfId="0" applyFont="1" applyFill="1" applyBorder="1" applyAlignment="1" applyProtection="1">
      <alignment horizontal="center" vertical="center"/>
      <protection/>
    </xf>
    <xf numFmtId="0" fontId="11" fillId="4" borderId="99" xfId="0" applyFont="1" applyFill="1" applyBorder="1" applyAlignment="1" applyProtection="1">
      <alignment horizontal="center" vertical="center"/>
      <protection/>
    </xf>
    <xf numFmtId="0" fontId="11" fillId="4" borderId="100" xfId="0" applyFont="1" applyFill="1" applyBorder="1" applyAlignment="1" applyProtection="1">
      <alignment horizontal="center" vertical="center"/>
      <protection/>
    </xf>
    <xf numFmtId="0" fontId="73" fillId="37" borderId="41" xfId="0" applyFont="1" applyFill="1" applyBorder="1" applyAlignment="1" applyProtection="1">
      <alignment vertical="center" wrapText="1"/>
      <protection/>
    </xf>
    <xf numFmtId="0" fontId="73" fillId="37" borderId="93" xfId="0" applyFont="1" applyFill="1" applyBorder="1" applyAlignment="1" applyProtection="1">
      <alignment vertical="center" wrapText="1"/>
      <protection/>
    </xf>
    <xf numFmtId="0" fontId="73" fillId="37" borderId="42" xfId="0" applyFont="1" applyFill="1" applyBorder="1" applyAlignment="1" applyProtection="1">
      <alignment vertical="center" wrapText="1"/>
      <protection/>
    </xf>
    <xf numFmtId="0" fontId="73" fillId="37" borderId="95" xfId="0" applyFont="1" applyFill="1" applyBorder="1" applyAlignment="1" applyProtection="1">
      <alignment vertical="center" wrapText="1"/>
      <protection/>
    </xf>
    <xf numFmtId="181" fontId="67" fillId="37" borderId="26" xfId="0" applyNumberFormat="1" applyFont="1" applyFill="1" applyBorder="1" applyAlignment="1" applyProtection="1">
      <alignment horizontal="left" vertical="center"/>
      <protection/>
    </xf>
    <xf numFmtId="0" fontId="93" fillId="38" borderId="0" xfId="0" applyFont="1" applyFill="1" applyAlignment="1" applyProtection="1">
      <alignment horizontal="center" vertical="center" wrapText="1"/>
      <protection/>
    </xf>
    <xf numFmtId="0" fontId="172" fillId="42" borderId="10" xfId="0" applyFont="1" applyFill="1" applyBorder="1" applyAlignment="1" applyProtection="1">
      <alignment horizontal="center" vertical="center"/>
      <protection locked="0"/>
    </xf>
    <xf numFmtId="0" fontId="97" fillId="42" borderId="0" xfId="0" applyFont="1" applyFill="1" applyAlignment="1">
      <alignment horizontal="right"/>
    </xf>
    <xf numFmtId="0" fontId="15" fillId="42" borderId="0" xfId="0" applyFont="1" applyFill="1" applyAlignment="1">
      <alignment horizontal="left"/>
    </xf>
    <xf numFmtId="0" fontId="15" fillId="42" borderId="0" xfId="0" applyFont="1" applyFill="1" applyAlignment="1">
      <alignment horizontal="center"/>
    </xf>
    <xf numFmtId="0" fontId="47" fillId="42" borderId="15" xfId="0" applyFont="1" applyFill="1" applyBorder="1" applyAlignment="1">
      <alignment horizontal="left" vertical="center"/>
    </xf>
    <xf numFmtId="0" fontId="47" fillId="42" borderId="14" xfId="0" applyFont="1" applyFill="1" applyBorder="1" applyAlignment="1">
      <alignment horizontal="left" vertical="center"/>
    </xf>
    <xf numFmtId="0" fontId="47" fillId="42" borderId="10" xfId="0" applyFont="1" applyFill="1" applyBorder="1" applyAlignment="1">
      <alignment horizontal="center" vertical="center"/>
    </xf>
    <xf numFmtId="1" fontId="98" fillId="42" borderId="10" xfId="0" applyNumberFormat="1" applyFont="1" applyFill="1" applyBorder="1" applyAlignment="1">
      <alignment horizontal="center" vertical="center"/>
    </xf>
    <xf numFmtId="0" fontId="98" fillId="42" borderId="10" xfId="0" applyFont="1" applyFill="1" applyBorder="1" applyAlignment="1">
      <alignment horizontal="center" vertical="center"/>
    </xf>
    <xf numFmtId="0" fontId="98" fillId="42" borderId="74" xfId="0" applyFont="1" applyFill="1" applyBorder="1" applyAlignment="1">
      <alignment horizontal="right" vertical="center"/>
    </xf>
    <xf numFmtId="0" fontId="98" fillId="42" borderId="76" xfId="0" applyFont="1" applyFill="1" applyBorder="1" applyAlignment="1">
      <alignment horizontal="right" vertical="center"/>
    </xf>
    <xf numFmtId="0" fontId="47" fillId="42" borderId="75" xfId="0" applyFont="1" applyFill="1" applyBorder="1" applyAlignment="1">
      <alignment horizontal="left" vertical="center"/>
    </xf>
    <xf numFmtId="0" fontId="47" fillId="42" borderId="78" xfId="0" applyFont="1" applyFill="1" applyBorder="1" applyAlignment="1">
      <alignment horizontal="left" vertical="center"/>
    </xf>
    <xf numFmtId="0" fontId="25" fillId="42" borderId="74" xfId="0" applyFont="1" applyFill="1" applyBorder="1" applyAlignment="1" applyProtection="1">
      <alignment horizontal="center" vertical="center" wrapText="1"/>
      <protection locked="0"/>
    </xf>
    <xf numFmtId="0" fontId="25" fillId="42" borderId="73" xfId="0" applyFont="1" applyFill="1" applyBorder="1" applyAlignment="1" applyProtection="1">
      <alignment horizontal="center" vertical="center"/>
      <protection locked="0"/>
    </xf>
    <xf numFmtId="0" fontId="25" fillId="42" borderId="75" xfId="0" applyFont="1" applyFill="1" applyBorder="1" applyAlignment="1" applyProtection="1">
      <alignment horizontal="center" vertical="center"/>
      <protection locked="0"/>
    </xf>
    <xf numFmtId="0" fontId="25" fillId="42" borderId="47" xfId="0" applyFont="1" applyFill="1" applyBorder="1" applyAlignment="1" applyProtection="1">
      <alignment horizontal="center" vertical="center"/>
      <protection locked="0"/>
    </xf>
    <xf numFmtId="0" fontId="25" fillId="42" borderId="0" xfId="0" applyFont="1" applyFill="1" applyBorder="1" applyAlignment="1" applyProtection="1">
      <alignment horizontal="center" vertical="center"/>
      <protection locked="0"/>
    </xf>
    <xf numFmtId="0" fontId="25" fillId="42" borderId="60" xfId="0" applyFont="1" applyFill="1" applyBorder="1" applyAlignment="1" applyProtection="1">
      <alignment horizontal="center" vertical="center"/>
      <protection locked="0"/>
    </xf>
    <xf numFmtId="0" fontId="25" fillId="42" borderId="76" xfId="0" applyFont="1" applyFill="1" applyBorder="1" applyAlignment="1" applyProtection="1">
      <alignment horizontal="center" vertical="center"/>
      <protection locked="0"/>
    </xf>
    <xf numFmtId="0" fontId="25" fillId="42" borderId="77" xfId="0" applyFont="1" applyFill="1" applyBorder="1" applyAlignment="1" applyProtection="1">
      <alignment horizontal="center" vertical="center"/>
      <protection locked="0"/>
    </xf>
    <xf numFmtId="0" fontId="25" fillId="42" borderId="78" xfId="0" applyFont="1" applyFill="1" applyBorder="1" applyAlignment="1" applyProtection="1">
      <alignment horizontal="center" vertical="center"/>
      <protection locked="0"/>
    </xf>
    <xf numFmtId="0" fontId="0" fillId="42" borderId="0" xfId="0" applyFill="1" applyAlignment="1">
      <alignment horizontal="center"/>
    </xf>
    <xf numFmtId="0" fontId="20" fillId="42" borderId="0" xfId="0" applyFont="1" applyFill="1" applyAlignment="1">
      <alignment horizontal="center" vertical="top"/>
    </xf>
    <xf numFmtId="0" fontId="47" fillId="42" borderId="10" xfId="0" applyFont="1" applyFill="1" applyBorder="1" applyAlignment="1">
      <alignment horizontal="left" vertical="center" wrapText="1"/>
    </xf>
    <xf numFmtId="0" fontId="173" fillId="42" borderId="15" xfId="0" applyFont="1" applyFill="1" applyBorder="1" applyAlignment="1" applyProtection="1">
      <alignment horizontal="left" vertical="center"/>
      <protection locked="0"/>
    </xf>
    <xf numFmtId="0" fontId="173" fillId="42" borderId="14" xfId="0" applyFont="1" applyFill="1" applyBorder="1" applyAlignment="1" applyProtection="1">
      <alignment horizontal="left" vertical="center"/>
      <protection locked="0"/>
    </xf>
    <xf numFmtId="0" fontId="0" fillId="42" borderId="73" xfId="0" applyFill="1" applyBorder="1" applyAlignment="1">
      <alignment horizontal="center"/>
    </xf>
    <xf numFmtId="0" fontId="0" fillId="0" borderId="73" xfId="0" applyBorder="1" applyAlignment="1">
      <alignment/>
    </xf>
    <xf numFmtId="0" fontId="0" fillId="0" borderId="76"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14"/>
        </patternFill>
      </fill>
    </dxf>
    <dxf>
      <fill>
        <patternFill>
          <bgColor indexed="20"/>
        </patternFill>
      </fill>
    </dxf>
    <dxf>
      <fill>
        <patternFill>
          <bgColor indexed="10"/>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22</xdr:row>
      <xdr:rowOff>57150</xdr:rowOff>
    </xdr:from>
    <xdr:to>
      <xdr:col>6</xdr:col>
      <xdr:colOff>876300</xdr:colOff>
      <xdr:row>23</xdr:row>
      <xdr:rowOff>200025</xdr:rowOff>
    </xdr:to>
    <xdr:sp>
      <xdr:nvSpPr>
        <xdr:cNvPr id="1" name="Right Arrow 2"/>
        <xdr:cNvSpPr>
          <a:spLocks/>
        </xdr:cNvSpPr>
      </xdr:nvSpPr>
      <xdr:spPr>
        <a:xfrm>
          <a:off x="5438775" y="8143875"/>
          <a:ext cx="238125" cy="419100"/>
        </a:xfrm>
        <a:prstGeom prst="rightArrow">
          <a:avLst>
            <a:gd name="adj" fmla="val 0"/>
          </a:avLst>
        </a:prstGeom>
        <a:solidFill>
          <a:srgbClr val="C00000"/>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133350</xdr:colOff>
      <xdr:row>7</xdr:row>
      <xdr:rowOff>962025</xdr:rowOff>
    </xdr:from>
    <xdr:to>
      <xdr:col>22</xdr:col>
      <xdr:colOff>200025</xdr:colOff>
      <xdr:row>7</xdr:row>
      <xdr:rowOff>962025</xdr:rowOff>
    </xdr:to>
    <xdr:sp>
      <xdr:nvSpPr>
        <xdr:cNvPr id="2" name="Line 166"/>
        <xdr:cNvSpPr>
          <a:spLocks/>
        </xdr:cNvSpPr>
      </xdr:nvSpPr>
      <xdr:spPr>
        <a:xfrm>
          <a:off x="10906125" y="3486150"/>
          <a:ext cx="43338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9525</xdr:colOff>
      <xdr:row>7</xdr:row>
      <xdr:rowOff>666750</xdr:rowOff>
    </xdr:from>
    <xdr:to>
      <xdr:col>17</xdr:col>
      <xdr:colOff>257175</xdr:colOff>
      <xdr:row>7</xdr:row>
      <xdr:rowOff>828675</xdr:rowOff>
    </xdr:to>
    <xdr:sp>
      <xdr:nvSpPr>
        <xdr:cNvPr id="3" name="Rectangle 167"/>
        <xdr:cNvSpPr>
          <a:spLocks/>
        </xdr:cNvSpPr>
      </xdr:nvSpPr>
      <xdr:spPr>
        <a:xfrm>
          <a:off x="11391900" y="3190875"/>
          <a:ext cx="857250" cy="161925"/>
        </a:xfrm>
        <a:prstGeom prst="rect">
          <a:avLst/>
        </a:prstGeom>
        <a:solidFill>
          <a:srgbClr val="FFFFFF"/>
        </a:solid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342900</xdr:colOff>
      <xdr:row>7</xdr:row>
      <xdr:rowOff>285750</xdr:rowOff>
    </xdr:from>
    <xdr:to>
      <xdr:col>16</xdr:col>
      <xdr:colOff>9525</xdr:colOff>
      <xdr:row>7</xdr:row>
      <xdr:rowOff>695325</xdr:rowOff>
    </xdr:to>
    <xdr:sp>
      <xdr:nvSpPr>
        <xdr:cNvPr id="4" name="Text Box 168"/>
        <xdr:cNvSpPr txBox="1">
          <a:spLocks noChangeArrowheads="1"/>
        </xdr:cNvSpPr>
      </xdr:nvSpPr>
      <xdr:spPr>
        <a:xfrm>
          <a:off x="11115675" y="2809875"/>
          <a:ext cx="276225" cy="409575"/>
        </a:xfrm>
        <a:prstGeom prst="rect">
          <a:avLst/>
        </a:prstGeom>
        <a:noFill/>
        <a:ln w="9525" cmpd="sng">
          <a:noFill/>
        </a:ln>
      </xdr:spPr>
      <xdr:txBody>
        <a:bodyPr vertOverflow="clip" wrap="square" lIns="18000" tIns="10800" rIns="18000" bIns="10800"/>
        <a:p>
          <a:pPr algn="l">
            <a:defRPr/>
          </a:pPr>
          <a:r>
            <a:rPr lang="en-US" cap="none" sz="1200" b="0" i="0" u="none" baseline="0">
              <a:solidFill>
                <a:srgbClr val="000000"/>
              </a:solidFill>
            </a:rPr>
            <a:t/>
          </a:r>
        </a:p>
      </xdr:txBody>
    </xdr:sp>
    <xdr:clientData/>
  </xdr:twoCellAnchor>
  <xdr:twoCellAnchor>
    <xdr:from>
      <xdr:col>15</xdr:col>
      <xdr:colOff>228600</xdr:colOff>
      <xdr:row>7</xdr:row>
      <xdr:rowOff>704850</xdr:rowOff>
    </xdr:from>
    <xdr:to>
      <xdr:col>15</xdr:col>
      <xdr:colOff>466725</xdr:colOff>
      <xdr:row>7</xdr:row>
      <xdr:rowOff>704850</xdr:rowOff>
    </xdr:to>
    <xdr:sp>
      <xdr:nvSpPr>
        <xdr:cNvPr id="5" name="Line 169"/>
        <xdr:cNvSpPr>
          <a:spLocks/>
        </xdr:cNvSpPr>
      </xdr:nvSpPr>
      <xdr:spPr>
        <a:xfrm>
          <a:off x="11001375" y="3228975"/>
          <a:ext cx="238125"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447675</xdr:colOff>
      <xdr:row>7</xdr:row>
      <xdr:rowOff>561975</xdr:rowOff>
    </xdr:from>
    <xdr:to>
      <xdr:col>16</xdr:col>
      <xdr:colOff>561975</xdr:colOff>
      <xdr:row>7</xdr:row>
      <xdr:rowOff>657225</xdr:rowOff>
    </xdr:to>
    <xdr:sp>
      <xdr:nvSpPr>
        <xdr:cNvPr id="6" name="AutoShape 171"/>
        <xdr:cNvSpPr>
          <a:spLocks/>
        </xdr:cNvSpPr>
      </xdr:nvSpPr>
      <xdr:spPr>
        <a:xfrm>
          <a:off x="11830050" y="3086100"/>
          <a:ext cx="114300" cy="95250"/>
        </a:xfrm>
        <a:prstGeom prst="flowChartExtra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476250</xdr:colOff>
      <xdr:row>7</xdr:row>
      <xdr:rowOff>533400</xdr:rowOff>
    </xdr:from>
    <xdr:to>
      <xdr:col>16</xdr:col>
      <xdr:colOff>542925</xdr:colOff>
      <xdr:row>7</xdr:row>
      <xdr:rowOff>609600</xdr:rowOff>
    </xdr:to>
    <xdr:sp>
      <xdr:nvSpPr>
        <xdr:cNvPr id="7" name="Oval 172"/>
        <xdr:cNvSpPr>
          <a:spLocks/>
        </xdr:cNvSpPr>
      </xdr:nvSpPr>
      <xdr:spPr>
        <a:xfrm>
          <a:off x="11858625" y="3057525"/>
          <a:ext cx="66675" cy="76200"/>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352425</xdr:colOff>
      <xdr:row>7</xdr:row>
      <xdr:rowOff>714375</xdr:rowOff>
    </xdr:from>
    <xdr:to>
      <xdr:col>15</xdr:col>
      <xdr:colOff>590550</xdr:colOff>
      <xdr:row>7</xdr:row>
      <xdr:rowOff>952500</xdr:rowOff>
    </xdr:to>
    <xdr:grpSp>
      <xdr:nvGrpSpPr>
        <xdr:cNvPr id="8" name="Group 173"/>
        <xdr:cNvGrpSpPr>
          <a:grpSpLocks/>
        </xdr:cNvGrpSpPr>
      </xdr:nvGrpSpPr>
      <xdr:grpSpPr>
        <a:xfrm>
          <a:off x="11125200" y="3238500"/>
          <a:ext cx="238125" cy="238125"/>
          <a:chOff x="3138" y="2808"/>
          <a:chExt cx="198" cy="198"/>
        </a:xfrm>
        <a:solidFill>
          <a:srgbClr val="FFFFFF"/>
        </a:solidFill>
      </xdr:grpSpPr>
      <xdr:sp>
        <xdr:nvSpPr>
          <xdr:cNvPr id="9" name="Oval 174"/>
          <xdr:cNvSpPr>
            <a:spLocks/>
          </xdr:cNvSpPr>
        </xdr:nvSpPr>
        <xdr:spPr>
          <a:xfrm>
            <a:off x="3138" y="2808"/>
            <a:ext cx="198" cy="198"/>
          </a:xfrm>
          <a:prstGeom prst="ellipse">
            <a:avLst/>
          </a:prstGeom>
          <a:solidFill>
            <a:srgbClr val="FFFFFF"/>
          </a:solid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75"/>
          <xdr:cNvSpPr>
            <a:spLocks/>
          </xdr:cNvSpPr>
        </xdr:nvSpPr>
        <xdr:spPr>
          <a:xfrm>
            <a:off x="3210" y="2904"/>
            <a:ext cx="54"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76"/>
          <xdr:cNvSpPr>
            <a:spLocks/>
          </xdr:cNvSpPr>
        </xdr:nvSpPr>
        <xdr:spPr>
          <a:xfrm>
            <a:off x="3234" y="2874"/>
            <a:ext cx="0" cy="6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16</xdr:col>
      <xdr:colOff>561975</xdr:colOff>
      <xdr:row>7</xdr:row>
      <xdr:rowOff>714375</xdr:rowOff>
    </xdr:from>
    <xdr:to>
      <xdr:col>17</xdr:col>
      <xdr:colOff>190500</xdr:colOff>
      <xdr:row>7</xdr:row>
      <xdr:rowOff>952500</xdr:rowOff>
    </xdr:to>
    <xdr:grpSp>
      <xdr:nvGrpSpPr>
        <xdr:cNvPr id="12" name="Group 177"/>
        <xdr:cNvGrpSpPr>
          <a:grpSpLocks/>
        </xdr:cNvGrpSpPr>
      </xdr:nvGrpSpPr>
      <xdr:grpSpPr>
        <a:xfrm>
          <a:off x="11944350" y="3238500"/>
          <a:ext cx="238125" cy="238125"/>
          <a:chOff x="3138" y="2808"/>
          <a:chExt cx="198" cy="198"/>
        </a:xfrm>
        <a:solidFill>
          <a:srgbClr val="FFFFFF"/>
        </a:solidFill>
      </xdr:grpSpPr>
      <xdr:sp>
        <xdr:nvSpPr>
          <xdr:cNvPr id="13" name="Oval 178"/>
          <xdr:cNvSpPr>
            <a:spLocks/>
          </xdr:cNvSpPr>
        </xdr:nvSpPr>
        <xdr:spPr>
          <a:xfrm>
            <a:off x="3138" y="2808"/>
            <a:ext cx="198" cy="198"/>
          </a:xfrm>
          <a:prstGeom prst="ellipse">
            <a:avLst/>
          </a:prstGeom>
          <a:solidFill>
            <a:srgbClr val="FFFFFF"/>
          </a:solid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Line 179"/>
          <xdr:cNvSpPr>
            <a:spLocks/>
          </xdr:cNvSpPr>
        </xdr:nvSpPr>
        <xdr:spPr>
          <a:xfrm>
            <a:off x="3210" y="2904"/>
            <a:ext cx="54"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Line 180"/>
          <xdr:cNvSpPr>
            <a:spLocks/>
          </xdr:cNvSpPr>
        </xdr:nvSpPr>
        <xdr:spPr>
          <a:xfrm>
            <a:off x="3234" y="2874"/>
            <a:ext cx="0" cy="6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17</xdr:col>
      <xdr:colOff>514350</xdr:colOff>
      <xdr:row>7</xdr:row>
      <xdr:rowOff>638175</xdr:rowOff>
    </xdr:from>
    <xdr:to>
      <xdr:col>22</xdr:col>
      <xdr:colOff>38100</xdr:colOff>
      <xdr:row>7</xdr:row>
      <xdr:rowOff>638175</xdr:rowOff>
    </xdr:to>
    <xdr:sp>
      <xdr:nvSpPr>
        <xdr:cNvPr id="16" name="Line 181"/>
        <xdr:cNvSpPr>
          <a:spLocks/>
        </xdr:cNvSpPr>
      </xdr:nvSpPr>
      <xdr:spPr>
        <a:xfrm>
          <a:off x="12506325" y="3162300"/>
          <a:ext cx="2571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514350</xdr:colOff>
      <xdr:row>7</xdr:row>
      <xdr:rowOff>304800</xdr:rowOff>
    </xdr:from>
    <xdr:to>
      <xdr:col>16</xdr:col>
      <xdr:colOff>514350</xdr:colOff>
      <xdr:row>7</xdr:row>
      <xdr:rowOff>552450</xdr:rowOff>
    </xdr:to>
    <xdr:sp>
      <xdr:nvSpPr>
        <xdr:cNvPr id="17" name="Line 182"/>
        <xdr:cNvSpPr>
          <a:spLocks/>
        </xdr:cNvSpPr>
      </xdr:nvSpPr>
      <xdr:spPr>
        <a:xfrm>
          <a:off x="11896725" y="2828925"/>
          <a:ext cx="0" cy="2476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457200</xdr:colOff>
      <xdr:row>7</xdr:row>
      <xdr:rowOff>971550</xdr:rowOff>
    </xdr:from>
    <xdr:to>
      <xdr:col>15</xdr:col>
      <xdr:colOff>457200</xdr:colOff>
      <xdr:row>8</xdr:row>
      <xdr:rowOff>47625</xdr:rowOff>
    </xdr:to>
    <xdr:sp>
      <xdr:nvSpPr>
        <xdr:cNvPr id="18" name="Line 183"/>
        <xdr:cNvSpPr>
          <a:spLocks/>
        </xdr:cNvSpPr>
      </xdr:nvSpPr>
      <xdr:spPr>
        <a:xfrm flipV="1">
          <a:off x="11229975" y="3495675"/>
          <a:ext cx="0" cy="2476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66675</xdr:colOff>
      <xdr:row>7</xdr:row>
      <xdr:rowOff>971550</xdr:rowOff>
    </xdr:from>
    <xdr:to>
      <xdr:col>17</xdr:col>
      <xdr:colOff>66675</xdr:colOff>
      <xdr:row>8</xdr:row>
      <xdr:rowOff>47625</xdr:rowOff>
    </xdr:to>
    <xdr:sp>
      <xdr:nvSpPr>
        <xdr:cNvPr id="19" name="Line 184"/>
        <xdr:cNvSpPr>
          <a:spLocks/>
        </xdr:cNvSpPr>
      </xdr:nvSpPr>
      <xdr:spPr>
        <a:xfrm flipV="1">
          <a:off x="12058650" y="3495675"/>
          <a:ext cx="0" cy="2476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600075</xdr:colOff>
      <xdr:row>7</xdr:row>
      <xdr:rowOff>114300</xdr:rowOff>
    </xdr:from>
    <xdr:to>
      <xdr:col>17</xdr:col>
      <xdr:colOff>257175</xdr:colOff>
      <xdr:row>7</xdr:row>
      <xdr:rowOff>514350</xdr:rowOff>
    </xdr:to>
    <xdr:sp>
      <xdr:nvSpPr>
        <xdr:cNvPr id="20" name="Text Box 185"/>
        <xdr:cNvSpPr txBox="1">
          <a:spLocks noChangeArrowheads="1"/>
        </xdr:cNvSpPr>
      </xdr:nvSpPr>
      <xdr:spPr>
        <a:xfrm>
          <a:off x="11982450" y="2638425"/>
          <a:ext cx="266700" cy="400050"/>
        </a:xfrm>
        <a:prstGeom prst="rect">
          <a:avLst/>
        </a:prstGeom>
        <a:noFill/>
        <a:ln w="9525" cmpd="sng">
          <a:noFill/>
        </a:ln>
      </xdr:spPr>
      <xdr:txBody>
        <a:bodyPr vertOverflow="clip" wrap="square" lIns="18000" tIns="10800" rIns="18000" bIns="10800"/>
        <a:p>
          <a:pPr algn="l">
            <a:defRPr/>
          </a:pPr>
          <a:r>
            <a:rPr lang="en-US" cap="none" sz="1200" b="0" i="0" u="none" baseline="0">
              <a:solidFill>
                <a:srgbClr val="000000"/>
              </a:solidFill>
            </a:rPr>
            <a:t/>
          </a:r>
        </a:p>
      </xdr:txBody>
    </xdr:sp>
    <xdr:clientData/>
  </xdr:twoCellAnchor>
  <xdr:twoCellAnchor>
    <xdr:from>
      <xdr:col>18</xdr:col>
      <xdr:colOff>514350</xdr:colOff>
      <xdr:row>7</xdr:row>
      <xdr:rowOff>219075</xdr:rowOff>
    </xdr:from>
    <xdr:to>
      <xdr:col>19</xdr:col>
      <xdr:colOff>304800</xdr:colOff>
      <xdr:row>7</xdr:row>
      <xdr:rowOff>619125</xdr:rowOff>
    </xdr:to>
    <xdr:sp>
      <xdr:nvSpPr>
        <xdr:cNvPr id="21" name="Text Box 186"/>
        <xdr:cNvSpPr txBox="1">
          <a:spLocks noChangeArrowheads="1"/>
        </xdr:cNvSpPr>
      </xdr:nvSpPr>
      <xdr:spPr>
        <a:xfrm>
          <a:off x="13115925" y="2743200"/>
          <a:ext cx="400050" cy="400050"/>
        </a:xfrm>
        <a:prstGeom prst="rect">
          <a:avLst/>
        </a:prstGeom>
        <a:noFill/>
        <a:ln w="9525" cmpd="sng">
          <a:noFill/>
        </a:ln>
      </xdr:spPr>
      <xdr:txBody>
        <a:bodyPr vertOverflow="clip" wrap="square" lIns="18000" tIns="10800" rIns="18000" bIns="10800"/>
        <a:p>
          <a:pPr algn="l">
            <a:defRPr/>
          </a:pPr>
          <a:r>
            <a:rPr lang="en-US" cap="none" sz="1200" b="0" i="0" u="none" baseline="0">
              <a:solidFill>
                <a:srgbClr val="000000"/>
              </a:solidFill>
            </a:rPr>
            <a:t/>
          </a:r>
        </a:p>
      </xdr:txBody>
    </xdr:sp>
    <xdr:clientData/>
  </xdr:twoCellAnchor>
  <xdr:twoCellAnchor>
    <xdr:from>
      <xdr:col>20</xdr:col>
      <xdr:colOff>409575</xdr:colOff>
      <xdr:row>7</xdr:row>
      <xdr:rowOff>971550</xdr:rowOff>
    </xdr:from>
    <xdr:to>
      <xdr:col>20</xdr:col>
      <xdr:colOff>409575</xdr:colOff>
      <xdr:row>8</xdr:row>
      <xdr:rowOff>47625</xdr:rowOff>
    </xdr:to>
    <xdr:sp>
      <xdr:nvSpPr>
        <xdr:cNvPr id="22" name="Line 187"/>
        <xdr:cNvSpPr>
          <a:spLocks/>
        </xdr:cNvSpPr>
      </xdr:nvSpPr>
      <xdr:spPr>
        <a:xfrm flipV="1">
          <a:off x="14230350" y="3495675"/>
          <a:ext cx="0" cy="2476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285750</xdr:colOff>
      <xdr:row>7</xdr:row>
      <xdr:rowOff>723900</xdr:rowOff>
    </xdr:from>
    <xdr:to>
      <xdr:col>20</xdr:col>
      <xdr:colOff>533400</xdr:colOff>
      <xdr:row>7</xdr:row>
      <xdr:rowOff>952500</xdr:rowOff>
    </xdr:to>
    <xdr:grpSp>
      <xdr:nvGrpSpPr>
        <xdr:cNvPr id="23" name="Group 189"/>
        <xdr:cNvGrpSpPr>
          <a:grpSpLocks/>
        </xdr:cNvGrpSpPr>
      </xdr:nvGrpSpPr>
      <xdr:grpSpPr>
        <a:xfrm>
          <a:off x="14106525" y="3248025"/>
          <a:ext cx="247650" cy="228600"/>
          <a:chOff x="3138" y="2808"/>
          <a:chExt cx="198" cy="198"/>
        </a:xfrm>
        <a:solidFill>
          <a:srgbClr val="FFFFFF"/>
        </a:solidFill>
      </xdr:grpSpPr>
      <xdr:sp>
        <xdr:nvSpPr>
          <xdr:cNvPr id="24" name="Oval 190"/>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Line 191"/>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Line 192"/>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21</xdr:col>
      <xdr:colOff>19050</xdr:colOff>
      <xdr:row>7</xdr:row>
      <xdr:rowOff>723900</xdr:rowOff>
    </xdr:from>
    <xdr:to>
      <xdr:col>21</xdr:col>
      <xdr:colOff>257175</xdr:colOff>
      <xdr:row>7</xdr:row>
      <xdr:rowOff>952500</xdr:rowOff>
    </xdr:to>
    <xdr:grpSp>
      <xdr:nvGrpSpPr>
        <xdr:cNvPr id="27" name="Group 193"/>
        <xdr:cNvGrpSpPr>
          <a:grpSpLocks/>
        </xdr:cNvGrpSpPr>
      </xdr:nvGrpSpPr>
      <xdr:grpSpPr>
        <a:xfrm>
          <a:off x="14449425" y="3248025"/>
          <a:ext cx="238125" cy="228600"/>
          <a:chOff x="3138" y="2808"/>
          <a:chExt cx="198" cy="198"/>
        </a:xfrm>
        <a:solidFill>
          <a:srgbClr val="FFFFFF"/>
        </a:solidFill>
      </xdr:grpSpPr>
      <xdr:sp>
        <xdr:nvSpPr>
          <xdr:cNvPr id="28" name="Oval 194"/>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Line 195"/>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Line 196"/>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19</xdr:col>
      <xdr:colOff>571500</xdr:colOff>
      <xdr:row>7</xdr:row>
      <xdr:rowOff>723900</xdr:rowOff>
    </xdr:from>
    <xdr:to>
      <xdr:col>20</xdr:col>
      <xdr:colOff>200025</xdr:colOff>
      <xdr:row>7</xdr:row>
      <xdr:rowOff>952500</xdr:rowOff>
    </xdr:to>
    <xdr:grpSp>
      <xdr:nvGrpSpPr>
        <xdr:cNvPr id="31" name="Group 197"/>
        <xdr:cNvGrpSpPr>
          <a:grpSpLocks/>
        </xdr:cNvGrpSpPr>
      </xdr:nvGrpSpPr>
      <xdr:grpSpPr>
        <a:xfrm>
          <a:off x="13782675" y="3248025"/>
          <a:ext cx="238125" cy="228600"/>
          <a:chOff x="3138" y="2808"/>
          <a:chExt cx="198" cy="198"/>
        </a:xfrm>
        <a:solidFill>
          <a:srgbClr val="FFFFFF"/>
        </a:solidFill>
      </xdr:grpSpPr>
      <xdr:sp>
        <xdr:nvSpPr>
          <xdr:cNvPr id="32" name="Oval 198"/>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Line 199"/>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Line 200"/>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17</xdr:col>
      <xdr:colOff>9525</xdr:colOff>
      <xdr:row>7</xdr:row>
      <xdr:rowOff>762000</xdr:rowOff>
    </xdr:from>
    <xdr:to>
      <xdr:col>17</xdr:col>
      <xdr:colOff>133350</xdr:colOff>
      <xdr:row>7</xdr:row>
      <xdr:rowOff>895350</xdr:rowOff>
    </xdr:to>
    <xdr:sp>
      <xdr:nvSpPr>
        <xdr:cNvPr id="35" name="Oval 201"/>
        <xdr:cNvSpPr>
          <a:spLocks/>
        </xdr:cNvSpPr>
      </xdr:nvSpPr>
      <xdr:spPr>
        <a:xfrm>
          <a:off x="12001500" y="3286125"/>
          <a:ext cx="123825" cy="133350"/>
        </a:xfrm>
        <a:prstGeom prst="ellipse">
          <a:avLst/>
        </a:prstGeom>
        <a:solidFill>
          <a:srgbClr val="000000"/>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323850</xdr:colOff>
      <xdr:row>8</xdr:row>
      <xdr:rowOff>209550</xdr:rowOff>
    </xdr:from>
    <xdr:to>
      <xdr:col>19</xdr:col>
      <xdr:colOff>47625</xdr:colOff>
      <xdr:row>8</xdr:row>
      <xdr:rowOff>419100</xdr:rowOff>
    </xdr:to>
    <xdr:sp>
      <xdr:nvSpPr>
        <xdr:cNvPr id="36" name="Text Box 202"/>
        <xdr:cNvSpPr txBox="1">
          <a:spLocks noChangeArrowheads="1"/>
        </xdr:cNvSpPr>
      </xdr:nvSpPr>
      <xdr:spPr>
        <a:xfrm>
          <a:off x="12925425" y="3905250"/>
          <a:ext cx="333375" cy="209550"/>
        </a:xfrm>
        <a:prstGeom prst="rect">
          <a:avLst/>
        </a:prstGeom>
        <a:noFill/>
        <a:ln w="9525" cmpd="sng">
          <a:noFill/>
        </a:ln>
      </xdr:spPr>
      <xdr:txBody>
        <a:bodyPr vertOverflow="clip" wrap="square" lIns="18000" tIns="10800" rIns="18000" bIns="10800"/>
        <a:p>
          <a:pPr algn="l">
            <a:defRPr/>
          </a:pPr>
          <a:r>
            <a:rPr lang="en-US" cap="none" sz="1200" b="1" i="0" u="none" baseline="0">
              <a:solidFill>
                <a:srgbClr val="FF0000"/>
              </a:solidFill>
            </a:rPr>
            <a:t>WB
</a:t>
          </a:r>
        </a:p>
      </xdr:txBody>
    </xdr:sp>
    <xdr:clientData/>
  </xdr:twoCellAnchor>
  <xdr:twoCellAnchor>
    <xdr:from>
      <xdr:col>16</xdr:col>
      <xdr:colOff>542925</xdr:colOff>
      <xdr:row>9</xdr:row>
      <xdr:rowOff>9525</xdr:rowOff>
    </xdr:from>
    <xdr:to>
      <xdr:col>20</xdr:col>
      <xdr:colOff>371475</xdr:colOff>
      <xdr:row>9</xdr:row>
      <xdr:rowOff>9525</xdr:rowOff>
    </xdr:to>
    <xdr:sp>
      <xdr:nvSpPr>
        <xdr:cNvPr id="37" name="Line 205"/>
        <xdr:cNvSpPr>
          <a:spLocks/>
        </xdr:cNvSpPr>
      </xdr:nvSpPr>
      <xdr:spPr>
        <a:xfrm>
          <a:off x="11925300" y="4152900"/>
          <a:ext cx="2266950"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76200</xdr:colOff>
      <xdr:row>7</xdr:row>
      <xdr:rowOff>981075</xdr:rowOff>
    </xdr:from>
    <xdr:to>
      <xdr:col>20</xdr:col>
      <xdr:colOff>76200</xdr:colOff>
      <xdr:row>8</xdr:row>
      <xdr:rowOff>209550</xdr:rowOff>
    </xdr:to>
    <xdr:sp>
      <xdr:nvSpPr>
        <xdr:cNvPr id="38" name="Line 206"/>
        <xdr:cNvSpPr>
          <a:spLocks/>
        </xdr:cNvSpPr>
      </xdr:nvSpPr>
      <xdr:spPr>
        <a:xfrm flipH="1">
          <a:off x="13896975" y="3505200"/>
          <a:ext cx="0" cy="400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133350</xdr:colOff>
      <xdr:row>7</xdr:row>
      <xdr:rowOff>981075</xdr:rowOff>
    </xdr:from>
    <xdr:to>
      <xdr:col>21</xdr:col>
      <xdr:colOff>133350</xdr:colOff>
      <xdr:row>8</xdr:row>
      <xdr:rowOff>209550</xdr:rowOff>
    </xdr:to>
    <xdr:sp>
      <xdr:nvSpPr>
        <xdr:cNvPr id="39" name="Line 207"/>
        <xdr:cNvSpPr>
          <a:spLocks/>
        </xdr:cNvSpPr>
      </xdr:nvSpPr>
      <xdr:spPr>
        <a:xfrm>
          <a:off x="14563725" y="3505200"/>
          <a:ext cx="0" cy="400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114300</xdr:colOff>
      <xdr:row>8</xdr:row>
      <xdr:rowOff>123825</xdr:rowOff>
    </xdr:from>
    <xdr:to>
      <xdr:col>20</xdr:col>
      <xdr:colOff>400050</xdr:colOff>
      <xdr:row>8</xdr:row>
      <xdr:rowOff>123825</xdr:rowOff>
    </xdr:to>
    <xdr:sp>
      <xdr:nvSpPr>
        <xdr:cNvPr id="40" name="Line 208"/>
        <xdr:cNvSpPr>
          <a:spLocks/>
        </xdr:cNvSpPr>
      </xdr:nvSpPr>
      <xdr:spPr>
        <a:xfrm>
          <a:off x="13935075" y="3819525"/>
          <a:ext cx="2857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447675</xdr:colOff>
      <xdr:row>8</xdr:row>
      <xdr:rowOff>123825</xdr:rowOff>
    </xdr:from>
    <xdr:to>
      <xdr:col>21</xdr:col>
      <xdr:colOff>123825</xdr:colOff>
      <xdr:row>8</xdr:row>
      <xdr:rowOff>123825</xdr:rowOff>
    </xdr:to>
    <xdr:sp>
      <xdr:nvSpPr>
        <xdr:cNvPr id="41" name="Line 209"/>
        <xdr:cNvSpPr>
          <a:spLocks/>
        </xdr:cNvSpPr>
      </xdr:nvSpPr>
      <xdr:spPr>
        <a:xfrm>
          <a:off x="14268450" y="3819525"/>
          <a:ext cx="2857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161925</xdr:colOff>
      <xdr:row>7</xdr:row>
      <xdr:rowOff>1038225</xdr:rowOff>
    </xdr:from>
    <xdr:to>
      <xdr:col>20</xdr:col>
      <xdr:colOff>333375</xdr:colOff>
      <xdr:row>8</xdr:row>
      <xdr:rowOff>133350</xdr:rowOff>
    </xdr:to>
    <xdr:sp>
      <xdr:nvSpPr>
        <xdr:cNvPr id="42" name="Text Box 210"/>
        <xdr:cNvSpPr txBox="1">
          <a:spLocks noChangeArrowheads="1"/>
        </xdr:cNvSpPr>
      </xdr:nvSpPr>
      <xdr:spPr>
        <a:xfrm>
          <a:off x="13982700" y="3562350"/>
          <a:ext cx="171450" cy="266700"/>
        </a:xfrm>
        <a:prstGeom prst="rect">
          <a:avLst/>
        </a:prstGeom>
        <a:noFill/>
        <a:ln w="9525" cmpd="sng">
          <a:noFill/>
        </a:ln>
      </xdr:spPr>
      <xdr:txBody>
        <a:bodyPr vertOverflow="clip" wrap="square" lIns="18000" tIns="10800" rIns="18000" bIns="10800"/>
        <a:p>
          <a:pPr algn="l">
            <a:defRPr/>
          </a:pPr>
          <a:r>
            <a:rPr lang="en-US" cap="none" sz="1000" b="0" i="0" u="none" baseline="0">
              <a:solidFill>
                <a:srgbClr val="000000"/>
              </a:solidFill>
            </a:rPr>
            <a:t>d
</a:t>
          </a:r>
        </a:p>
      </xdr:txBody>
    </xdr:sp>
    <xdr:clientData/>
  </xdr:twoCellAnchor>
  <xdr:twoCellAnchor>
    <xdr:from>
      <xdr:col>20</xdr:col>
      <xdr:colOff>485775</xdr:colOff>
      <xdr:row>7</xdr:row>
      <xdr:rowOff>1057275</xdr:rowOff>
    </xdr:from>
    <xdr:to>
      <xdr:col>21</xdr:col>
      <xdr:colOff>47625</xdr:colOff>
      <xdr:row>8</xdr:row>
      <xdr:rowOff>133350</xdr:rowOff>
    </xdr:to>
    <xdr:sp>
      <xdr:nvSpPr>
        <xdr:cNvPr id="43" name="Text Box 211"/>
        <xdr:cNvSpPr txBox="1">
          <a:spLocks noChangeArrowheads="1"/>
        </xdr:cNvSpPr>
      </xdr:nvSpPr>
      <xdr:spPr>
        <a:xfrm>
          <a:off x="14306550" y="3581400"/>
          <a:ext cx="171450" cy="247650"/>
        </a:xfrm>
        <a:prstGeom prst="rect">
          <a:avLst/>
        </a:prstGeom>
        <a:noFill/>
        <a:ln w="9525" cmpd="sng">
          <a:noFill/>
        </a:ln>
      </xdr:spPr>
      <xdr:txBody>
        <a:bodyPr vertOverflow="clip" wrap="square" lIns="18000" tIns="10800" rIns="18000" bIns="10800"/>
        <a:p>
          <a:pPr algn="l">
            <a:defRPr/>
          </a:pPr>
          <a:r>
            <a:rPr lang="en-US" cap="none" sz="1000" b="0" i="0" u="none" baseline="0">
              <a:solidFill>
                <a:srgbClr val="000000"/>
              </a:solidFill>
            </a:rPr>
            <a:t>d
</a:t>
          </a:r>
        </a:p>
      </xdr:txBody>
    </xdr:sp>
    <xdr:clientData/>
  </xdr:twoCellAnchor>
  <xdr:twoCellAnchor>
    <xdr:from>
      <xdr:col>20</xdr:col>
      <xdr:colOff>419100</xdr:colOff>
      <xdr:row>8</xdr:row>
      <xdr:rowOff>133350</xdr:rowOff>
    </xdr:from>
    <xdr:to>
      <xdr:col>20</xdr:col>
      <xdr:colOff>419100</xdr:colOff>
      <xdr:row>9</xdr:row>
      <xdr:rowOff>95250</xdr:rowOff>
    </xdr:to>
    <xdr:sp>
      <xdr:nvSpPr>
        <xdr:cNvPr id="44" name="Straight Connector 1115"/>
        <xdr:cNvSpPr>
          <a:spLocks/>
        </xdr:cNvSpPr>
      </xdr:nvSpPr>
      <xdr:spPr>
        <a:xfrm rot="5400000">
          <a:off x="14239875" y="3829050"/>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171450</xdr:colOff>
      <xdr:row>7</xdr:row>
      <xdr:rowOff>561975</xdr:rowOff>
    </xdr:from>
    <xdr:to>
      <xdr:col>16</xdr:col>
      <xdr:colOff>171450</xdr:colOff>
      <xdr:row>9</xdr:row>
      <xdr:rowOff>95250</xdr:rowOff>
    </xdr:to>
    <xdr:sp>
      <xdr:nvSpPr>
        <xdr:cNvPr id="45" name="Straight Connector 1117"/>
        <xdr:cNvSpPr>
          <a:spLocks/>
        </xdr:cNvSpPr>
      </xdr:nvSpPr>
      <xdr:spPr>
        <a:xfrm rot="5400000">
          <a:off x="11553825" y="3086100"/>
          <a:ext cx="0" cy="1152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180975</xdr:colOff>
      <xdr:row>9</xdr:row>
      <xdr:rowOff>0</xdr:rowOff>
    </xdr:from>
    <xdr:to>
      <xdr:col>16</xdr:col>
      <xdr:colOff>476250</xdr:colOff>
      <xdr:row>9</xdr:row>
      <xdr:rowOff>0</xdr:rowOff>
    </xdr:to>
    <xdr:sp>
      <xdr:nvSpPr>
        <xdr:cNvPr id="46" name="Line 208"/>
        <xdr:cNvSpPr>
          <a:spLocks/>
        </xdr:cNvSpPr>
      </xdr:nvSpPr>
      <xdr:spPr>
        <a:xfrm>
          <a:off x="11563350" y="4143375"/>
          <a:ext cx="2952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190500</xdr:colOff>
      <xdr:row>8</xdr:row>
      <xdr:rowOff>247650</xdr:rowOff>
    </xdr:from>
    <xdr:to>
      <xdr:col>16</xdr:col>
      <xdr:colOff>495300</xdr:colOff>
      <xdr:row>8</xdr:row>
      <xdr:rowOff>428625</xdr:rowOff>
    </xdr:to>
    <xdr:sp>
      <xdr:nvSpPr>
        <xdr:cNvPr id="47" name="Text Box 210"/>
        <xdr:cNvSpPr txBox="1">
          <a:spLocks noChangeArrowheads="1"/>
        </xdr:cNvSpPr>
      </xdr:nvSpPr>
      <xdr:spPr>
        <a:xfrm>
          <a:off x="11572875" y="3943350"/>
          <a:ext cx="304800" cy="180975"/>
        </a:xfrm>
        <a:prstGeom prst="rect">
          <a:avLst/>
        </a:prstGeom>
        <a:noFill/>
        <a:ln w="9525" cmpd="sng">
          <a:noFill/>
        </a:ln>
      </xdr:spPr>
      <xdr:txBody>
        <a:bodyPr vertOverflow="clip" wrap="square" lIns="18000" tIns="10800" rIns="18000" bIns="10800"/>
        <a:p>
          <a:pPr algn="l">
            <a:defRPr/>
          </a:pPr>
          <a:r>
            <a:rPr lang="en-US" cap="none" sz="900" b="1" i="0" u="none" baseline="0">
              <a:solidFill>
                <a:srgbClr val="FF0000"/>
              </a:solidFill>
            </a:rPr>
            <a:t>FOH
</a:t>
          </a:r>
        </a:p>
      </xdr:txBody>
    </xdr:sp>
    <xdr:clientData/>
  </xdr:twoCellAnchor>
  <xdr:twoCellAnchor>
    <xdr:from>
      <xdr:col>22</xdr:col>
      <xdr:colOff>28575</xdr:colOff>
      <xdr:row>7</xdr:row>
      <xdr:rowOff>838200</xdr:rowOff>
    </xdr:from>
    <xdr:to>
      <xdr:col>22</xdr:col>
      <xdr:colOff>38100</xdr:colOff>
      <xdr:row>9</xdr:row>
      <xdr:rowOff>114300</xdr:rowOff>
    </xdr:to>
    <xdr:sp>
      <xdr:nvSpPr>
        <xdr:cNvPr id="48" name="Straight Connector 1121"/>
        <xdr:cNvSpPr>
          <a:spLocks/>
        </xdr:cNvSpPr>
      </xdr:nvSpPr>
      <xdr:spPr>
        <a:xfrm rot="16200000" flipH="1">
          <a:off x="15068550" y="3362325"/>
          <a:ext cx="9525" cy="895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66675</xdr:colOff>
      <xdr:row>8</xdr:row>
      <xdr:rowOff>285750</xdr:rowOff>
    </xdr:from>
    <xdr:to>
      <xdr:col>21</xdr:col>
      <xdr:colOff>457200</xdr:colOff>
      <xdr:row>9</xdr:row>
      <xdr:rowOff>9525</xdr:rowOff>
    </xdr:to>
    <xdr:sp>
      <xdr:nvSpPr>
        <xdr:cNvPr id="49" name="Text Box 210"/>
        <xdr:cNvSpPr txBox="1">
          <a:spLocks noChangeArrowheads="1"/>
        </xdr:cNvSpPr>
      </xdr:nvSpPr>
      <xdr:spPr>
        <a:xfrm>
          <a:off x="14497050" y="3981450"/>
          <a:ext cx="390525" cy="171450"/>
        </a:xfrm>
        <a:prstGeom prst="rect">
          <a:avLst/>
        </a:prstGeom>
        <a:noFill/>
        <a:ln w="9525" cmpd="sng">
          <a:noFill/>
        </a:ln>
      </xdr:spPr>
      <xdr:txBody>
        <a:bodyPr vertOverflow="clip" wrap="square" lIns="18000" tIns="10800" rIns="18000" bIns="10800"/>
        <a:p>
          <a:pPr algn="l">
            <a:defRPr/>
          </a:pPr>
          <a:r>
            <a:rPr lang="en-US" cap="none" sz="900" b="1" i="0" u="none" baseline="0">
              <a:solidFill>
                <a:srgbClr val="FF0000"/>
              </a:solidFill>
            </a:rPr>
            <a:t>ROH
</a:t>
          </a:r>
        </a:p>
      </xdr:txBody>
    </xdr:sp>
    <xdr:clientData/>
  </xdr:twoCellAnchor>
  <xdr:twoCellAnchor>
    <xdr:from>
      <xdr:col>20</xdr:col>
      <xdr:colOff>428625</xdr:colOff>
      <xdr:row>9</xdr:row>
      <xdr:rowOff>19050</xdr:rowOff>
    </xdr:from>
    <xdr:to>
      <xdr:col>22</xdr:col>
      <xdr:colOff>19050</xdr:colOff>
      <xdr:row>9</xdr:row>
      <xdr:rowOff>19050</xdr:rowOff>
    </xdr:to>
    <xdr:sp>
      <xdr:nvSpPr>
        <xdr:cNvPr id="50" name="Straight Arrow Connector 1126"/>
        <xdr:cNvSpPr>
          <a:spLocks/>
        </xdr:cNvSpPr>
      </xdr:nvSpPr>
      <xdr:spPr>
        <a:xfrm>
          <a:off x="14249400" y="4162425"/>
          <a:ext cx="80962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504825</xdr:colOff>
      <xdr:row>7</xdr:row>
      <xdr:rowOff>571500</xdr:rowOff>
    </xdr:from>
    <xdr:to>
      <xdr:col>16</xdr:col>
      <xdr:colOff>514350</xdr:colOff>
      <xdr:row>9</xdr:row>
      <xdr:rowOff>104775</xdr:rowOff>
    </xdr:to>
    <xdr:sp>
      <xdr:nvSpPr>
        <xdr:cNvPr id="51" name="Straight Connector 1130"/>
        <xdr:cNvSpPr>
          <a:spLocks/>
        </xdr:cNvSpPr>
      </xdr:nvSpPr>
      <xdr:spPr>
        <a:xfrm rot="5400000">
          <a:off x="11887200" y="3095625"/>
          <a:ext cx="9525" cy="1152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200025</xdr:colOff>
      <xdr:row>12</xdr:row>
      <xdr:rowOff>238125</xdr:rowOff>
    </xdr:from>
    <xdr:to>
      <xdr:col>22</xdr:col>
      <xdr:colOff>381000</xdr:colOff>
      <xdr:row>21</xdr:row>
      <xdr:rowOff>76200</xdr:rowOff>
    </xdr:to>
    <xdr:grpSp>
      <xdr:nvGrpSpPr>
        <xdr:cNvPr id="52" name="Group 1198"/>
        <xdr:cNvGrpSpPr>
          <a:grpSpLocks/>
        </xdr:cNvGrpSpPr>
      </xdr:nvGrpSpPr>
      <xdr:grpSpPr>
        <a:xfrm>
          <a:off x="10972800" y="5153025"/>
          <a:ext cx="4448175" cy="2733675"/>
          <a:chOff x="10314456" y="5442141"/>
          <a:chExt cx="4445931" cy="2214283"/>
        </a:xfrm>
        <a:solidFill>
          <a:srgbClr val="FFFFFF"/>
        </a:solidFill>
      </xdr:grpSpPr>
      <xdr:grpSp>
        <xdr:nvGrpSpPr>
          <xdr:cNvPr id="53" name="Group 29"/>
          <xdr:cNvGrpSpPr>
            <a:grpSpLocks/>
          </xdr:cNvGrpSpPr>
        </xdr:nvGrpSpPr>
        <xdr:grpSpPr>
          <a:xfrm>
            <a:off x="11252547" y="6115837"/>
            <a:ext cx="2878740" cy="586785"/>
            <a:chOff x="5443" y="3039"/>
            <a:chExt cx="1660" cy="742"/>
          </a:xfrm>
          <a:solidFill>
            <a:srgbClr val="FFFFFF"/>
          </a:solidFill>
        </xdr:grpSpPr>
        <xdr:sp>
          <xdr:nvSpPr>
            <xdr:cNvPr id="54" name="Rectangle 30"/>
            <xdr:cNvSpPr>
              <a:spLocks/>
            </xdr:cNvSpPr>
          </xdr:nvSpPr>
          <xdr:spPr>
            <a:xfrm>
              <a:off x="5443" y="3039"/>
              <a:ext cx="1660" cy="742"/>
            </a:xfrm>
            <a:prstGeom prst="rect">
              <a:avLst/>
            </a:prstGeom>
            <a:solidFill>
              <a:srgbClr val="FFFFFF"/>
            </a:solid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5" name="AutoShape 31"/>
            <xdr:cNvSpPr>
              <a:spLocks/>
            </xdr:cNvSpPr>
          </xdr:nvSpPr>
          <xdr:spPr>
            <a:xfrm>
              <a:off x="5443" y="3039"/>
              <a:ext cx="1660" cy="742"/>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6" name="AutoShape 32"/>
            <xdr:cNvSpPr>
              <a:spLocks/>
            </xdr:cNvSpPr>
          </xdr:nvSpPr>
          <xdr:spPr>
            <a:xfrm flipV="1">
              <a:off x="5443" y="3039"/>
              <a:ext cx="1660" cy="742"/>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57" name="AutoShape 33"/>
          <xdr:cNvSpPr>
            <a:spLocks/>
          </xdr:cNvSpPr>
        </xdr:nvSpPr>
        <xdr:spPr>
          <a:xfrm>
            <a:off x="13431054" y="5827980"/>
            <a:ext cx="5557" cy="116582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8" name="AutoShape 34"/>
          <xdr:cNvSpPr>
            <a:spLocks/>
          </xdr:cNvSpPr>
        </xdr:nvSpPr>
        <xdr:spPr>
          <a:xfrm>
            <a:off x="12680803" y="5563927"/>
            <a:ext cx="5557" cy="850838"/>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9" name="AutoShape 35"/>
          <xdr:cNvSpPr>
            <a:spLocks/>
          </xdr:cNvSpPr>
        </xdr:nvSpPr>
        <xdr:spPr>
          <a:xfrm>
            <a:off x="12686360" y="5933712"/>
            <a:ext cx="744693"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0" name="Line 36"/>
          <xdr:cNvSpPr>
            <a:spLocks/>
          </xdr:cNvSpPr>
        </xdr:nvSpPr>
        <xdr:spPr>
          <a:xfrm>
            <a:off x="11968342" y="7214675"/>
            <a:ext cx="2579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1" name="Rectangle 37"/>
          <xdr:cNvSpPr>
            <a:spLocks/>
          </xdr:cNvSpPr>
        </xdr:nvSpPr>
        <xdr:spPr>
          <a:xfrm>
            <a:off x="11109166" y="6949514"/>
            <a:ext cx="705792" cy="151125"/>
          </a:xfrm>
          <a:prstGeom prst="rect">
            <a:avLst/>
          </a:prstGeom>
          <a:solidFill>
            <a:srgbClr val="FFFFFF"/>
          </a:solid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2" name="Text Box 38"/>
          <xdr:cNvSpPr txBox="1">
            <a:spLocks noChangeArrowheads="1"/>
          </xdr:cNvSpPr>
        </xdr:nvSpPr>
        <xdr:spPr>
          <a:xfrm>
            <a:off x="10885758" y="6607407"/>
            <a:ext cx="218962" cy="370339"/>
          </a:xfrm>
          <a:prstGeom prst="rect">
            <a:avLst/>
          </a:prstGeom>
          <a:noFill/>
          <a:ln w="9525" cmpd="sng">
            <a:noFill/>
          </a:ln>
        </xdr:spPr>
        <xdr:txBody>
          <a:bodyPr vertOverflow="clip" wrap="square" lIns="18000" tIns="10800" rIns="18000" bIns="10800"/>
          <a:p>
            <a:pPr algn="l">
              <a:defRPr/>
            </a:pPr>
            <a:r>
              <a:rPr lang="en-US" cap="none" sz="1100" b="0" i="0" u="none" baseline="0">
                <a:solidFill>
                  <a:srgbClr val="000000"/>
                </a:solidFill>
              </a:rPr>
              <a:t/>
            </a:r>
          </a:p>
        </xdr:txBody>
      </xdr:sp>
      <xdr:sp>
        <xdr:nvSpPr>
          <xdr:cNvPr id="63" name="Line 39"/>
          <xdr:cNvSpPr>
            <a:spLocks/>
          </xdr:cNvSpPr>
        </xdr:nvSpPr>
        <xdr:spPr>
          <a:xfrm>
            <a:off x="10789059" y="6981068"/>
            <a:ext cx="195621"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5" name="AutoShape 41"/>
          <xdr:cNvSpPr>
            <a:spLocks/>
          </xdr:cNvSpPr>
        </xdr:nvSpPr>
        <xdr:spPr>
          <a:xfrm>
            <a:off x="11470398" y="6860943"/>
            <a:ext cx="94476" cy="82482"/>
          </a:xfrm>
          <a:prstGeom prst="flowChartExtra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6" name="Oval 42"/>
          <xdr:cNvSpPr>
            <a:spLocks/>
          </xdr:cNvSpPr>
        </xdr:nvSpPr>
        <xdr:spPr>
          <a:xfrm>
            <a:off x="11488182" y="6836032"/>
            <a:ext cx="58909" cy="63107"/>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67" name="Group 43"/>
          <xdr:cNvGrpSpPr>
            <a:grpSpLocks/>
          </xdr:cNvGrpSpPr>
        </xdr:nvGrpSpPr>
        <xdr:grpSpPr>
          <a:xfrm>
            <a:off x="10889093" y="6993800"/>
            <a:ext cx="195621" cy="208143"/>
            <a:chOff x="3138" y="2808"/>
            <a:chExt cx="198" cy="198"/>
          </a:xfrm>
          <a:solidFill>
            <a:srgbClr val="FFFFFF"/>
          </a:solidFill>
        </xdr:grpSpPr>
        <xdr:sp>
          <xdr:nvSpPr>
            <xdr:cNvPr id="68" name="Oval 44"/>
            <xdr:cNvSpPr>
              <a:spLocks/>
            </xdr:cNvSpPr>
          </xdr:nvSpPr>
          <xdr:spPr>
            <a:xfrm>
              <a:off x="3138" y="2808"/>
              <a:ext cx="198" cy="198"/>
            </a:xfrm>
            <a:prstGeom prst="ellipse">
              <a:avLst/>
            </a:prstGeom>
            <a:solidFill>
              <a:srgbClr val="FFFFFF"/>
            </a:solid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9" name="Line 45"/>
            <xdr:cNvSpPr>
              <a:spLocks/>
            </xdr:cNvSpPr>
          </xdr:nvSpPr>
          <xdr:spPr>
            <a:xfrm>
              <a:off x="3210" y="2904"/>
              <a:ext cx="54"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0" name="Line 46"/>
            <xdr:cNvSpPr>
              <a:spLocks/>
            </xdr:cNvSpPr>
          </xdr:nvSpPr>
          <xdr:spPr>
            <a:xfrm>
              <a:off x="3234" y="2874"/>
              <a:ext cx="0" cy="6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71" name="Group 47"/>
          <xdr:cNvGrpSpPr>
            <a:grpSpLocks/>
          </xdr:cNvGrpSpPr>
        </xdr:nvGrpSpPr>
        <xdr:grpSpPr>
          <a:xfrm>
            <a:off x="11559317" y="6993800"/>
            <a:ext cx="195621" cy="208143"/>
            <a:chOff x="3138" y="2808"/>
            <a:chExt cx="198" cy="198"/>
          </a:xfrm>
          <a:solidFill>
            <a:srgbClr val="FFFFFF"/>
          </a:solidFill>
        </xdr:grpSpPr>
        <xdr:sp>
          <xdr:nvSpPr>
            <xdr:cNvPr id="72" name="Oval 48"/>
            <xdr:cNvSpPr>
              <a:spLocks/>
            </xdr:cNvSpPr>
          </xdr:nvSpPr>
          <xdr:spPr>
            <a:xfrm>
              <a:off x="3138" y="2808"/>
              <a:ext cx="198" cy="198"/>
            </a:xfrm>
            <a:prstGeom prst="ellipse">
              <a:avLst/>
            </a:prstGeom>
            <a:solidFill>
              <a:srgbClr val="FFFFFF"/>
            </a:solid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3" name="Line 49"/>
            <xdr:cNvSpPr>
              <a:spLocks/>
            </xdr:cNvSpPr>
          </xdr:nvSpPr>
          <xdr:spPr>
            <a:xfrm>
              <a:off x="3210" y="2904"/>
              <a:ext cx="54"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4" name="Line 50"/>
            <xdr:cNvSpPr>
              <a:spLocks/>
            </xdr:cNvSpPr>
          </xdr:nvSpPr>
          <xdr:spPr>
            <a:xfrm>
              <a:off x="3234" y="2874"/>
              <a:ext cx="0" cy="6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75" name="Line 51"/>
          <xdr:cNvSpPr>
            <a:spLocks/>
          </xdr:cNvSpPr>
        </xdr:nvSpPr>
        <xdr:spPr>
          <a:xfrm>
            <a:off x="12027251" y="6924603"/>
            <a:ext cx="2102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6" name="Line 52"/>
          <xdr:cNvSpPr>
            <a:spLocks/>
          </xdr:cNvSpPr>
        </xdr:nvSpPr>
        <xdr:spPr>
          <a:xfrm>
            <a:off x="11523749" y="6633425"/>
            <a:ext cx="0" cy="221428"/>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7" name="Line 53"/>
          <xdr:cNvSpPr>
            <a:spLocks/>
          </xdr:cNvSpPr>
        </xdr:nvSpPr>
        <xdr:spPr>
          <a:xfrm flipV="1">
            <a:off x="10979123" y="7220764"/>
            <a:ext cx="0" cy="221428"/>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8" name="Line 54"/>
          <xdr:cNvSpPr>
            <a:spLocks/>
          </xdr:cNvSpPr>
        </xdr:nvSpPr>
        <xdr:spPr>
          <a:xfrm flipV="1">
            <a:off x="11653793" y="7220764"/>
            <a:ext cx="0" cy="221428"/>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9" name="Text Box 55"/>
          <xdr:cNvSpPr txBox="1">
            <a:spLocks noChangeArrowheads="1"/>
          </xdr:cNvSpPr>
        </xdr:nvSpPr>
        <xdr:spPr>
          <a:xfrm>
            <a:off x="14046815" y="7378531"/>
            <a:ext cx="713572" cy="277893"/>
          </a:xfrm>
          <a:prstGeom prst="rect">
            <a:avLst/>
          </a:prstGeom>
          <a:noFill/>
          <a:ln w="9525" cmpd="sng">
            <a:noFill/>
          </a:ln>
        </xdr:spPr>
        <xdr:txBody>
          <a:bodyPr vertOverflow="clip" wrap="square" lIns="18000" tIns="10800" rIns="18000" bIns="10800"/>
          <a:p>
            <a:pPr algn="l">
              <a:defRPr/>
            </a:pPr>
            <a:r>
              <a:rPr lang="en-US" cap="none" sz="1100" b="0" i="0" u="none" baseline="0">
                <a:solidFill>
                  <a:srgbClr val="FF0000"/>
                </a:solidFill>
                <a:latin typeface="Calibri"/>
                <a:ea typeface="Calibri"/>
                <a:cs typeface="Calibri"/>
              </a:rPr>
              <a:t>Bàn cân</a:t>
            </a:r>
            <a:r>
              <a:rPr lang="en-US" cap="none" sz="1100" b="0" i="0" u="none" baseline="0">
                <a:solidFill>
                  <a:srgbClr val="FF0000"/>
                </a:solidFill>
                <a:latin typeface="Times New Roman"/>
                <a:ea typeface="Times New Roman"/>
                <a:cs typeface="Times New Roman"/>
              </a:rPr>
              <a:t>
</a:t>
            </a:r>
          </a:p>
        </xdr:txBody>
      </xdr:sp>
      <xdr:sp>
        <xdr:nvSpPr>
          <xdr:cNvPr id="80" name="Line 56"/>
          <xdr:cNvSpPr>
            <a:spLocks/>
          </xdr:cNvSpPr>
        </xdr:nvSpPr>
        <xdr:spPr>
          <a:xfrm flipV="1">
            <a:off x="13437723" y="7220764"/>
            <a:ext cx="0" cy="221428"/>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82" name="Group 58"/>
          <xdr:cNvGrpSpPr>
            <a:grpSpLocks/>
          </xdr:cNvGrpSpPr>
        </xdr:nvGrpSpPr>
        <xdr:grpSpPr>
          <a:xfrm>
            <a:off x="13343246" y="7000443"/>
            <a:ext cx="195621" cy="208143"/>
            <a:chOff x="3138" y="2808"/>
            <a:chExt cx="198" cy="198"/>
          </a:xfrm>
          <a:solidFill>
            <a:srgbClr val="FFFFFF"/>
          </a:solidFill>
        </xdr:grpSpPr>
        <xdr:sp>
          <xdr:nvSpPr>
            <xdr:cNvPr id="83" name="Oval 59"/>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4" name="Line 60"/>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5" name="Line 61"/>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86" name="Group 62"/>
          <xdr:cNvGrpSpPr>
            <a:grpSpLocks/>
          </xdr:cNvGrpSpPr>
        </xdr:nvGrpSpPr>
        <xdr:grpSpPr>
          <a:xfrm>
            <a:off x="13621117" y="7000443"/>
            <a:ext cx="195621" cy="208143"/>
            <a:chOff x="3138" y="2808"/>
            <a:chExt cx="198" cy="198"/>
          </a:xfrm>
          <a:solidFill>
            <a:srgbClr val="FFFFFF"/>
          </a:solidFill>
        </xdr:grpSpPr>
        <xdr:sp>
          <xdr:nvSpPr>
            <xdr:cNvPr id="87" name="Oval 63"/>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8" name="Line 64"/>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9" name="Line 65"/>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90" name="Group 66"/>
          <xdr:cNvGrpSpPr>
            <a:grpSpLocks/>
          </xdr:cNvGrpSpPr>
        </xdr:nvGrpSpPr>
        <xdr:grpSpPr>
          <a:xfrm>
            <a:off x="13069822" y="7000443"/>
            <a:ext cx="195621" cy="208143"/>
            <a:chOff x="3138" y="2808"/>
            <a:chExt cx="198" cy="198"/>
          </a:xfrm>
          <a:solidFill>
            <a:srgbClr val="FFFFFF"/>
          </a:solidFill>
        </xdr:grpSpPr>
        <xdr:sp>
          <xdr:nvSpPr>
            <xdr:cNvPr id="91" name="Oval 67"/>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2" name="Line 68"/>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3" name="Line 69"/>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94" name="Oval 70"/>
          <xdr:cNvSpPr>
            <a:spLocks/>
          </xdr:cNvSpPr>
        </xdr:nvSpPr>
        <xdr:spPr>
          <a:xfrm>
            <a:off x="11607110" y="7043621"/>
            <a:ext cx="101145" cy="107393"/>
          </a:xfrm>
          <a:prstGeom prst="ellipse">
            <a:avLst/>
          </a:prstGeom>
          <a:solidFill>
            <a:srgbClr val="000000"/>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5" name="Text Box 71"/>
          <xdr:cNvSpPr txBox="1">
            <a:spLocks noChangeArrowheads="1"/>
          </xdr:cNvSpPr>
        </xdr:nvSpPr>
        <xdr:spPr>
          <a:xfrm>
            <a:off x="13513303" y="7293835"/>
            <a:ext cx="256753" cy="223643"/>
          </a:xfrm>
          <a:prstGeom prst="rect">
            <a:avLst/>
          </a:prstGeom>
          <a:noFill/>
          <a:ln w="9525" cmpd="sng">
            <a:noFill/>
          </a:ln>
        </xdr:spPr>
        <xdr:txBody>
          <a:bodyPr vertOverflow="clip" wrap="square" lIns="18000" tIns="10800" rIns="18000" bIns="10800"/>
          <a:p>
            <a:pPr algn="l">
              <a:defRPr/>
            </a:pPr>
            <a:r>
              <a:rPr lang="en-US" cap="none" sz="1050" b="1" i="0" u="none" baseline="0">
                <a:solidFill>
                  <a:srgbClr val="FF0000"/>
                </a:solidFill>
                <a:latin typeface="Calibri"/>
                <a:ea typeface="Calibri"/>
                <a:cs typeface="Calibri"/>
              </a:rPr>
              <a:t>G2</a:t>
            </a:r>
            <a:r>
              <a:rPr lang="en-US" cap="none" sz="1050" b="1" i="0" u="none" baseline="0">
                <a:solidFill>
                  <a:srgbClr val="FF0000"/>
                </a:solidFill>
                <a:latin typeface="Times New Roman"/>
                <a:ea typeface="Times New Roman"/>
                <a:cs typeface="Times New Roman"/>
              </a:rPr>
              <a:t>
</a:t>
            </a:r>
          </a:p>
        </xdr:txBody>
      </xdr:sp>
      <xdr:sp>
        <xdr:nvSpPr>
          <xdr:cNvPr id="96" name="Line 72"/>
          <xdr:cNvSpPr>
            <a:spLocks/>
          </xdr:cNvSpPr>
        </xdr:nvSpPr>
        <xdr:spPr>
          <a:xfrm>
            <a:off x="10314456" y="7220764"/>
            <a:ext cx="159831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7" name="AutoShape 73"/>
          <xdr:cNvSpPr>
            <a:spLocks/>
          </xdr:cNvSpPr>
        </xdr:nvSpPr>
        <xdr:spPr>
          <a:xfrm>
            <a:off x="11968342" y="7220764"/>
            <a:ext cx="0" cy="76946"/>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8" name="AutoShape 74"/>
          <xdr:cNvSpPr>
            <a:spLocks/>
          </xdr:cNvSpPr>
        </xdr:nvSpPr>
        <xdr:spPr>
          <a:xfrm>
            <a:off x="11968342" y="7297710"/>
            <a:ext cx="2579751"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9" name="AutoShape 75"/>
          <xdr:cNvSpPr>
            <a:spLocks/>
          </xdr:cNvSpPr>
        </xdr:nvSpPr>
        <xdr:spPr>
          <a:xfrm>
            <a:off x="14548094" y="7214675"/>
            <a:ext cx="0" cy="83036"/>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0" name="AutoShape 76"/>
          <xdr:cNvSpPr>
            <a:spLocks/>
          </xdr:cNvSpPr>
        </xdr:nvSpPr>
        <xdr:spPr>
          <a:xfrm flipH="1" flipV="1">
            <a:off x="13925663" y="7268371"/>
            <a:ext cx="117817" cy="208696"/>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1" name="Text Box 77"/>
          <xdr:cNvSpPr txBox="1">
            <a:spLocks noChangeArrowheads="1"/>
          </xdr:cNvSpPr>
        </xdr:nvSpPr>
        <xdr:spPr>
          <a:xfrm>
            <a:off x="12904211" y="5720034"/>
            <a:ext cx="256753" cy="208143"/>
          </a:xfrm>
          <a:prstGeom prst="rect">
            <a:avLst/>
          </a:prstGeom>
          <a:noFill/>
          <a:ln w="9525" cmpd="sng">
            <a:noFill/>
          </a:ln>
        </xdr:spPr>
        <xdr:txBody>
          <a:bodyPr vertOverflow="clip" wrap="square" lIns="18000" tIns="10800" rIns="18000" bIns="10800"/>
          <a:p>
            <a:pPr algn="l">
              <a:defRPr/>
            </a:pPr>
            <a:r>
              <a:rPr lang="en-US" cap="none" sz="1000" b="1" i="0" u="none" baseline="0">
                <a:solidFill>
                  <a:srgbClr val="FF0000"/>
                </a:solidFill>
              </a:rPr>
              <a:t>OS
</a:t>
            </a:r>
          </a:p>
        </xdr:txBody>
      </xdr:sp>
      <xdr:sp>
        <xdr:nvSpPr>
          <xdr:cNvPr id="102" name="Text Box 78"/>
          <xdr:cNvSpPr txBox="1">
            <a:spLocks noChangeArrowheads="1"/>
          </xdr:cNvSpPr>
        </xdr:nvSpPr>
        <xdr:spPr>
          <a:xfrm>
            <a:off x="12504077" y="6445211"/>
            <a:ext cx="181172" cy="215893"/>
          </a:xfrm>
          <a:prstGeom prst="rect">
            <a:avLst/>
          </a:prstGeom>
          <a:noFill/>
          <a:ln w="9525" cmpd="sng">
            <a:noFill/>
          </a:ln>
        </xdr:spPr>
        <xdr:txBody>
          <a:bodyPr vertOverflow="clip" wrap="square" lIns="18000" tIns="10800" rIns="18000" bIns="10800"/>
          <a:p>
            <a:pPr algn="l">
              <a:defRPr/>
            </a:pPr>
            <a:r>
              <a:rPr lang="en-US" cap="none" sz="1000" b="1" i="0" u="none" baseline="0">
                <a:solidFill>
                  <a:srgbClr val="000000"/>
                </a:solidFill>
              </a:rPr>
              <a:t>Q
</a:t>
            </a:r>
          </a:p>
        </xdr:txBody>
      </xdr:sp>
      <xdr:sp>
        <xdr:nvSpPr>
          <xdr:cNvPr id="103" name="AutoShape 79"/>
          <xdr:cNvSpPr>
            <a:spLocks/>
          </xdr:cNvSpPr>
        </xdr:nvSpPr>
        <xdr:spPr>
          <a:xfrm>
            <a:off x="11251436" y="5529052"/>
            <a:ext cx="5557" cy="58678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4" name="AutoShape 80"/>
          <xdr:cNvSpPr>
            <a:spLocks/>
          </xdr:cNvSpPr>
        </xdr:nvSpPr>
        <xdr:spPr>
          <a:xfrm>
            <a:off x="14119061" y="5529052"/>
            <a:ext cx="5557" cy="58678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5" name="AutoShape 81"/>
          <xdr:cNvSpPr>
            <a:spLocks/>
          </xdr:cNvSpPr>
        </xdr:nvSpPr>
        <xdr:spPr>
          <a:xfrm>
            <a:off x="11245879" y="5654159"/>
            <a:ext cx="1434924"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6" name="AutoShape 82"/>
          <xdr:cNvSpPr>
            <a:spLocks/>
          </xdr:cNvSpPr>
        </xdr:nvSpPr>
        <xdr:spPr>
          <a:xfrm>
            <a:off x="12697475" y="5654159"/>
            <a:ext cx="1434924"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7" name="Text Box 83"/>
          <xdr:cNvSpPr txBox="1">
            <a:spLocks noChangeArrowheads="1"/>
          </xdr:cNvSpPr>
        </xdr:nvSpPr>
        <xdr:spPr>
          <a:xfrm>
            <a:off x="13342135" y="5442141"/>
            <a:ext cx="266756" cy="208143"/>
          </a:xfrm>
          <a:prstGeom prst="rect">
            <a:avLst/>
          </a:prstGeom>
          <a:noFill/>
          <a:ln w="9525" cmpd="sng">
            <a:noFill/>
          </a:ln>
        </xdr:spPr>
        <xdr:txBody>
          <a:bodyPr vertOverflow="clip" wrap="square" lIns="18000" tIns="10800" rIns="18000" bIns="10800"/>
          <a:p>
            <a:pPr algn="l">
              <a:defRPr/>
            </a:pPr>
            <a:r>
              <a:rPr lang="en-US" cap="none" sz="1000" b="0" i="0" u="none" baseline="0">
                <a:solidFill>
                  <a:srgbClr val="000000"/>
                </a:solidFill>
                <a:latin typeface="Calibri"/>
                <a:ea typeface="Calibri"/>
                <a:cs typeface="Calibri"/>
              </a:rPr>
              <a:t>L/2</a:t>
            </a:r>
            <a:r>
              <a:rPr lang="en-US" cap="none" sz="1000" b="0" i="0" u="none" baseline="0">
                <a:solidFill>
                  <a:srgbClr val="000000"/>
                </a:solidFill>
                <a:latin typeface="Times New Roman"/>
                <a:ea typeface="Times New Roman"/>
                <a:cs typeface="Times New Roman"/>
              </a:rPr>
              <a:t>
</a:t>
            </a:r>
          </a:p>
        </xdr:txBody>
      </xdr:sp>
      <xdr:sp>
        <xdr:nvSpPr>
          <xdr:cNvPr id="108" name="Text Box 84"/>
          <xdr:cNvSpPr txBox="1">
            <a:spLocks noChangeArrowheads="1"/>
          </xdr:cNvSpPr>
        </xdr:nvSpPr>
        <xdr:spPr>
          <a:xfrm>
            <a:off x="11857194" y="5442141"/>
            <a:ext cx="256753" cy="208143"/>
          </a:xfrm>
          <a:prstGeom prst="rect">
            <a:avLst/>
          </a:prstGeom>
          <a:noFill/>
          <a:ln w="9525" cmpd="sng">
            <a:noFill/>
          </a:ln>
        </xdr:spPr>
        <xdr:txBody>
          <a:bodyPr vertOverflow="clip" wrap="square" lIns="18000" tIns="10800" rIns="18000" bIns="10800"/>
          <a:p>
            <a:pPr algn="l">
              <a:defRPr/>
            </a:pPr>
            <a:r>
              <a:rPr lang="en-US" cap="none" sz="1000" b="0" i="0" u="none" baseline="0">
                <a:solidFill>
                  <a:srgbClr val="000000"/>
                </a:solidFill>
                <a:latin typeface="Calibri"/>
                <a:ea typeface="Calibri"/>
                <a:cs typeface="Calibri"/>
              </a:rPr>
              <a:t>L/2</a:t>
            </a:r>
            <a:r>
              <a:rPr lang="en-US" cap="none" sz="1000" b="0" i="0" u="none" baseline="0">
                <a:solidFill>
                  <a:srgbClr val="000000"/>
                </a:solidFill>
                <a:latin typeface="Times New Roman"/>
                <a:ea typeface="Times New Roman"/>
                <a:cs typeface="Times New Roman"/>
              </a:rPr>
              <a:t>
</a:t>
            </a:r>
          </a:p>
        </xdr:txBody>
      </xdr:sp>
    </xdr:grpSp>
    <xdr:clientData/>
  </xdr:twoCellAnchor>
  <xdr:twoCellAnchor>
    <xdr:from>
      <xdr:col>6</xdr:col>
      <xdr:colOff>809625</xdr:colOff>
      <xdr:row>13</xdr:row>
      <xdr:rowOff>47625</xdr:rowOff>
    </xdr:from>
    <xdr:to>
      <xdr:col>7</xdr:col>
      <xdr:colOff>104775</xdr:colOff>
      <xdr:row>13</xdr:row>
      <xdr:rowOff>228600</xdr:rowOff>
    </xdr:to>
    <xdr:sp>
      <xdr:nvSpPr>
        <xdr:cNvPr id="109" name="Right Arrow 161"/>
        <xdr:cNvSpPr>
          <a:spLocks/>
        </xdr:cNvSpPr>
      </xdr:nvSpPr>
      <xdr:spPr>
        <a:xfrm>
          <a:off x="5610225" y="5238750"/>
          <a:ext cx="180975" cy="180975"/>
        </a:xfrm>
        <a:prstGeom prst="rightArrow">
          <a:avLst>
            <a:gd name="adj" fmla="val 0"/>
          </a:avLst>
        </a:prstGeom>
        <a:solidFill>
          <a:srgbClr val="C00000"/>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657225</xdr:colOff>
      <xdr:row>19</xdr:row>
      <xdr:rowOff>47625</xdr:rowOff>
    </xdr:from>
    <xdr:to>
      <xdr:col>6</xdr:col>
      <xdr:colOff>838200</xdr:colOff>
      <xdr:row>19</xdr:row>
      <xdr:rowOff>228600</xdr:rowOff>
    </xdr:to>
    <xdr:sp>
      <xdr:nvSpPr>
        <xdr:cNvPr id="110" name="Right Arrow 162"/>
        <xdr:cNvSpPr>
          <a:spLocks/>
        </xdr:cNvSpPr>
      </xdr:nvSpPr>
      <xdr:spPr>
        <a:xfrm>
          <a:off x="5457825" y="7305675"/>
          <a:ext cx="180975" cy="180975"/>
        </a:xfrm>
        <a:prstGeom prst="rightArrow">
          <a:avLst>
            <a:gd name="adj" fmla="val 0"/>
          </a:avLst>
        </a:prstGeom>
        <a:solidFill>
          <a:srgbClr val="C00000"/>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438150</xdr:colOff>
      <xdr:row>2</xdr:row>
      <xdr:rowOff>123825</xdr:rowOff>
    </xdr:from>
    <xdr:to>
      <xdr:col>22</xdr:col>
      <xdr:colOff>295275</xdr:colOff>
      <xdr:row>6</xdr:row>
      <xdr:rowOff>790575</xdr:rowOff>
    </xdr:to>
    <xdr:grpSp>
      <xdr:nvGrpSpPr>
        <xdr:cNvPr id="111" name="Group 192"/>
        <xdr:cNvGrpSpPr>
          <a:grpSpLocks/>
        </xdr:cNvGrpSpPr>
      </xdr:nvGrpSpPr>
      <xdr:grpSpPr>
        <a:xfrm>
          <a:off x="11210925" y="733425"/>
          <a:ext cx="4124325" cy="1695450"/>
          <a:chOff x="11205541" y="736738"/>
          <a:chExt cx="4147517" cy="1693793"/>
        </a:xfrm>
        <a:solidFill>
          <a:srgbClr val="FFFFFF"/>
        </a:solidFill>
      </xdr:grpSpPr>
      <xdr:sp>
        <xdr:nvSpPr>
          <xdr:cNvPr id="112" name="Line 123"/>
          <xdr:cNvSpPr>
            <a:spLocks/>
          </xdr:cNvSpPr>
        </xdr:nvSpPr>
        <xdr:spPr>
          <a:xfrm>
            <a:off x="11205541" y="1591680"/>
            <a:ext cx="376283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3" name="Rectangle 124"/>
          <xdr:cNvSpPr>
            <a:spLocks/>
          </xdr:cNvSpPr>
        </xdr:nvSpPr>
        <xdr:spPr>
          <a:xfrm>
            <a:off x="11690800" y="1305429"/>
            <a:ext cx="863720" cy="167262"/>
          </a:xfrm>
          <a:prstGeom prst="rect">
            <a:avLst/>
          </a:prstGeom>
          <a:solidFill>
            <a:srgbClr val="FFFFFF"/>
          </a:solid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4" name="Text Box 125"/>
          <xdr:cNvSpPr txBox="1">
            <a:spLocks noChangeArrowheads="1"/>
          </xdr:cNvSpPr>
        </xdr:nvSpPr>
        <xdr:spPr>
          <a:xfrm>
            <a:off x="11425359" y="945921"/>
            <a:ext cx="268552" cy="389996"/>
          </a:xfrm>
          <a:prstGeom prst="rect">
            <a:avLst/>
          </a:prstGeom>
          <a:noFill/>
          <a:ln w="9525" cmpd="sng">
            <a:noFill/>
          </a:ln>
        </xdr:spPr>
        <xdr:txBody>
          <a:bodyPr vertOverflow="clip" wrap="square" lIns="18000" tIns="10800" rIns="18000" bIns="10800"/>
          <a:p>
            <a:pPr algn="l">
              <a:defRPr/>
            </a:pPr>
            <a:r>
              <a:rPr lang="en-US" cap="none" sz="1200" b="0" i="0" u="none" baseline="0">
                <a:solidFill>
                  <a:srgbClr val="000000"/>
                </a:solidFill>
              </a:rPr>
              <a:t/>
            </a:r>
          </a:p>
        </xdr:txBody>
      </xdr:sp>
      <xdr:sp>
        <xdr:nvSpPr>
          <xdr:cNvPr id="115" name="Line 126"/>
          <xdr:cNvSpPr>
            <a:spLocks/>
          </xdr:cNvSpPr>
        </xdr:nvSpPr>
        <xdr:spPr>
          <a:xfrm>
            <a:off x="11299897" y="1340575"/>
            <a:ext cx="239519" cy="0"/>
          </a:xfrm>
          <a:prstGeom prst="line">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7" name="AutoShape 128"/>
          <xdr:cNvSpPr>
            <a:spLocks/>
          </xdr:cNvSpPr>
        </xdr:nvSpPr>
        <xdr:spPr>
          <a:xfrm>
            <a:off x="12136659" y="1217775"/>
            <a:ext cx="115094" cy="80879"/>
          </a:xfrm>
          <a:prstGeom prst="flowChartExtra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8" name="Oval 129"/>
          <xdr:cNvSpPr>
            <a:spLocks/>
          </xdr:cNvSpPr>
        </xdr:nvSpPr>
        <xdr:spPr>
          <a:xfrm>
            <a:off x="12157396" y="1190251"/>
            <a:ext cx="72582" cy="63094"/>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19" name="Group 130"/>
          <xdr:cNvGrpSpPr>
            <a:grpSpLocks/>
          </xdr:cNvGrpSpPr>
        </xdr:nvGrpSpPr>
        <xdr:grpSpPr>
          <a:xfrm>
            <a:off x="11423286" y="1354549"/>
            <a:ext cx="237445" cy="223581"/>
            <a:chOff x="3138" y="2808"/>
            <a:chExt cx="198" cy="198"/>
          </a:xfrm>
          <a:solidFill>
            <a:srgbClr val="FFFFFF"/>
          </a:solidFill>
        </xdr:grpSpPr>
        <xdr:sp>
          <xdr:nvSpPr>
            <xdr:cNvPr id="120" name="Oval 131"/>
            <xdr:cNvSpPr>
              <a:spLocks/>
            </xdr:cNvSpPr>
          </xdr:nvSpPr>
          <xdr:spPr>
            <a:xfrm>
              <a:off x="3138" y="2808"/>
              <a:ext cx="198" cy="198"/>
            </a:xfrm>
            <a:prstGeom prst="ellipse">
              <a:avLst/>
            </a:prstGeom>
            <a:solidFill>
              <a:srgbClr val="FFFFFF"/>
            </a:solid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1" name="Line 132"/>
            <xdr:cNvSpPr>
              <a:spLocks/>
            </xdr:cNvSpPr>
          </xdr:nvSpPr>
          <xdr:spPr>
            <a:xfrm>
              <a:off x="3210" y="2904"/>
              <a:ext cx="54"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2" name="Line 133"/>
            <xdr:cNvSpPr>
              <a:spLocks/>
            </xdr:cNvSpPr>
          </xdr:nvSpPr>
          <xdr:spPr>
            <a:xfrm>
              <a:off x="3234" y="2874"/>
              <a:ext cx="0" cy="6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23" name="Group 134"/>
          <xdr:cNvGrpSpPr>
            <a:grpSpLocks/>
          </xdr:cNvGrpSpPr>
        </xdr:nvGrpSpPr>
        <xdr:grpSpPr>
          <a:xfrm>
            <a:off x="12243457" y="1354549"/>
            <a:ext cx="237445" cy="223581"/>
            <a:chOff x="3138" y="2808"/>
            <a:chExt cx="198" cy="198"/>
          </a:xfrm>
          <a:solidFill>
            <a:srgbClr val="FFFFFF"/>
          </a:solidFill>
        </xdr:grpSpPr>
        <xdr:sp>
          <xdr:nvSpPr>
            <xdr:cNvPr id="124" name="Oval 135"/>
            <xdr:cNvSpPr>
              <a:spLocks/>
            </xdr:cNvSpPr>
          </xdr:nvSpPr>
          <xdr:spPr>
            <a:xfrm>
              <a:off x="3138" y="2808"/>
              <a:ext cx="198" cy="198"/>
            </a:xfrm>
            <a:prstGeom prst="ellipse">
              <a:avLst/>
            </a:prstGeom>
            <a:solidFill>
              <a:srgbClr val="FFFFFF"/>
            </a:solid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5" name="Line 136"/>
            <xdr:cNvSpPr>
              <a:spLocks/>
            </xdr:cNvSpPr>
          </xdr:nvSpPr>
          <xdr:spPr>
            <a:xfrm>
              <a:off x="3210" y="2904"/>
              <a:ext cx="54"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6" name="Line 137"/>
            <xdr:cNvSpPr>
              <a:spLocks/>
            </xdr:cNvSpPr>
          </xdr:nvSpPr>
          <xdr:spPr>
            <a:xfrm>
              <a:off x="3234" y="2874"/>
              <a:ext cx="0" cy="6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28" name="Group 139"/>
          <xdr:cNvGrpSpPr>
            <a:grpSpLocks/>
          </xdr:cNvGrpSpPr>
        </xdr:nvGrpSpPr>
        <xdr:grpSpPr>
          <a:xfrm>
            <a:off x="14025853" y="1375298"/>
            <a:ext cx="240556" cy="223581"/>
            <a:chOff x="3138" y="2808"/>
            <a:chExt cx="198" cy="198"/>
          </a:xfrm>
          <a:solidFill>
            <a:srgbClr val="FFFFFF"/>
          </a:solidFill>
        </xdr:grpSpPr>
        <xdr:sp>
          <xdr:nvSpPr>
            <xdr:cNvPr id="129" name="Oval 140"/>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0" name="Line 141"/>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1" name="Line 142"/>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32" name="Line 143"/>
          <xdr:cNvSpPr>
            <a:spLocks/>
          </xdr:cNvSpPr>
        </xdr:nvSpPr>
        <xdr:spPr>
          <a:xfrm>
            <a:off x="12898765" y="1277905"/>
            <a:ext cx="197318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3" name="Line 144"/>
          <xdr:cNvSpPr>
            <a:spLocks/>
          </xdr:cNvSpPr>
        </xdr:nvSpPr>
        <xdr:spPr>
          <a:xfrm>
            <a:off x="12200945" y="971328"/>
            <a:ext cx="0" cy="239248"/>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4" name="Line 145"/>
          <xdr:cNvSpPr>
            <a:spLocks/>
          </xdr:cNvSpPr>
        </xdr:nvSpPr>
        <xdr:spPr>
          <a:xfrm flipV="1">
            <a:off x="11532158" y="1608618"/>
            <a:ext cx="0" cy="233743"/>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5" name="Line 146"/>
          <xdr:cNvSpPr>
            <a:spLocks/>
          </xdr:cNvSpPr>
        </xdr:nvSpPr>
        <xdr:spPr>
          <a:xfrm flipV="1">
            <a:off x="12359588" y="1608618"/>
            <a:ext cx="0" cy="233743"/>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6" name="Line 147"/>
          <xdr:cNvSpPr>
            <a:spLocks/>
          </xdr:cNvSpPr>
        </xdr:nvSpPr>
        <xdr:spPr>
          <a:xfrm flipH="1" flipV="1">
            <a:off x="14321363" y="1617510"/>
            <a:ext cx="2074" cy="344687"/>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7" name="Text Box 148"/>
          <xdr:cNvSpPr txBox="1">
            <a:spLocks noChangeArrowheads="1"/>
          </xdr:cNvSpPr>
        </xdr:nvSpPr>
        <xdr:spPr>
          <a:xfrm>
            <a:off x="12288043" y="784164"/>
            <a:ext cx="258183" cy="380680"/>
          </a:xfrm>
          <a:prstGeom prst="rect">
            <a:avLst/>
          </a:prstGeom>
          <a:noFill/>
          <a:ln w="9525" cmpd="sng">
            <a:noFill/>
          </a:ln>
        </xdr:spPr>
        <xdr:txBody>
          <a:bodyPr vertOverflow="clip" wrap="square" lIns="18000" tIns="10800" rIns="18000" bIns="10800"/>
          <a:p>
            <a:pPr algn="l">
              <a:defRPr/>
            </a:pPr>
            <a:r>
              <a:rPr lang="en-US" cap="none" sz="1200" b="0" i="0" u="none" baseline="0">
                <a:solidFill>
                  <a:srgbClr val="000000"/>
                </a:solidFill>
              </a:rPr>
              <a:t/>
            </a:r>
          </a:p>
        </xdr:txBody>
      </xdr:sp>
      <xdr:sp>
        <xdr:nvSpPr>
          <xdr:cNvPr id="138" name="Text Box 149"/>
          <xdr:cNvSpPr txBox="1">
            <a:spLocks noChangeArrowheads="1"/>
          </xdr:cNvSpPr>
        </xdr:nvSpPr>
        <xdr:spPr>
          <a:xfrm>
            <a:off x="13418241" y="879440"/>
            <a:ext cx="402309" cy="389996"/>
          </a:xfrm>
          <a:prstGeom prst="rect">
            <a:avLst/>
          </a:prstGeom>
          <a:noFill/>
          <a:ln w="9525" cmpd="sng">
            <a:noFill/>
          </a:ln>
        </xdr:spPr>
        <xdr:txBody>
          <a:bodyPr vertOverflow="clip" wrap="square" lIns="18000" tIns="10800" rIns="18000" bIns="10800"/>
          <a:p>
            <a:pPr algn="l">
              <a:defRPr/>
            </a:pPr>
            <a:r>
              <a:rPr lang="en-US" cap="none" sz="1200" b="0" i="0" u="none" baseline="0">
                <a:solidFill>
                  <a:srgbClr val="000000"/>
                </a:solidFill>
              </a:rPr>
              <a:t/>
            </a:r>
          </a:p>
        </xdr:txBody>
      </xdr:sp>
      <xdr:grpSp>
        <xdr:nvGrpSpPr>
          <xdr:cNvPr id="139" name="Group 150"/>
          <xdr:cNvGrpSpPr>
            <a:grpSpLocks/>
          </xdr:cNvGrpSpPr>
        </xdr:nvGrpSpPr>
        <xdr:grpSpPr>
          <a:xfrm>
            <a:off x="14365949" y="1375298"/>
            <a:ext cx="239519" cy="223581"/>
            <a:chOff x="3138" y="2808"/>
            <a:chExt cx="198" cy="198"/>
          </a:xfrm>
          <a:solidFill>
            <a:srgbClr val="FFFFFF"/>
          </a:solidFill>
        </xdr:grpSpPr>
        <xdr:sp>
          <xdr:nvSpPr>
            <xdr:cNvPr id="140" name="Oval 151"/>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1" name="Line 152"/>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2" name="Line 153"/>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3" name="Text Box 154"/>
          <xdr:cNvSpPr txBox="1">
            <a:spLocks noChangeArrowheads="1"/>
          </xdr:cNvSpPr>
        </xdr:nvSpPr>
        <xdr:spPr>
          <a:xfrm>
            <a:off x="13121694" y="1954575"/>
            <a:ext cx="345281" cy="199868"/>
          </a:xfrm>
          <a:prstGeom prst="rect">
            <a:avLst/>
          </a:prstGeom>
          <a:noFill/>
          <a:ln w="9525" cmpd="sng">
            <a:noFill/>
          </a:ln>
        </xdr:spPr>
        <xdr:txBody>
          <a:bodyPr vertOverflow="clip" wrap="square" lIns="18000" tIns="10800" rIns="18000" bIns="10800"/>
          <a:p>
            <a:pPr algn="l">
              <a:defRPr/>
            </a:pPr>
            <a:r>
              <a:rPr lang="en-US" cap="none" sz="1200" b="1" i="0" u="none" baseline="0">
                <a:solidFill>
                  <a:srgbClr val="FF0000"/>
                </a:solidFill>
              </a:rPr>
              <a:t>WB
</a:t>
            </a:r>
          </a:p>
        </xdr:txBody>
      </xdr:sp>
      <xdr:sp>
        <xdr:nvSpPr>
          <xdr:cNvPr id="144" name="Line 155"/>
          <xdr:cNvSpPr>
            <a:spLocks/>
          </xdr:cNvSpPr>
        </xdr:nvSpPr>
        <xdr:spPr>
          <a:xfrm>
            <a:off x="12200945" y="1346927"/>
            <a:ext cx="3111" cy="91676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5" name="Line 156"/>
          <xdr:cNvSpPr>
            <a:spLocks/>
          </xdr:cNvSpPr>
        </xdr:nvSpPr>
        <xdr:spPr>
          <a:xfrm>
            <a:off x="14326548" y="1996497"/>
            <a:ext cx="0" cy="26634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6" name="Line 157"/>
          <xdr:cNvSpPr>
            <a:spLocks/>
          </xdr:cNvSpPr>
        </xdr:nvSpPr>
        <xdr:spPr>
          <a:xfrm>
            <a:off x="12235162" y="2170110"/>
            <a:ext cx="2064427" cy="2541"/>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7" name="Line 158"/>
          <xdr:cNvSpPr>
            <a:spLocks/>
          </xdr:cNvSpPr>
        </xdr:nvSpPr>
        <xdr:spPr>
          <a:xfrm>
            <a:off x="14141983" y="1662819"/>
            <a:ext cx="0" cy="25364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8" name="Line 159"/>
          <xdr:cNvSpPr>
            <a:spLocks/>
          </xdr:cNvSpPr>
        </xdr:nvSpPr>
        <xdr:spPr>
          <a:xfrm>
            <a:off x="14485190" y="1662819"/>
            <a:ext cx="0" cy="25364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9" name="Line 160"/>
          <xdr:cNvSpPr>
            <a:spLocks/>
          </xdr:cNvSpPr>
        </xdr:nvSpPr>
        <xdr:spPr>
          <a:xfrm>
            <a:off x="13754190" y="1856335"/>
            <a:ext cx="386756"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0" name="Line 161"/>
          <xdr:cNvSpPr>
            <a:spLocks/>
          </xdr:cNvSpPr>
        </xdr:nvSpPr>
        <xdr:spPr>
          <a:xfrm flipH="1">
            <a:off x="14473784" y="1856335"/>
            <a:ext cx="386756"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1" name="Text Box 162"/>
          <xdr:cNvSpPr txBox="1">
            <a:spLocks noChangeArrowheads="1"/>
          </xdr:cNvSpPr>
        </xdr:nvSpPr>
        <xdr:spPr>
          <a:xfrm>
            <a:off x="13705457" y="1659855"/>
            <a:ext cx="354613" cy="228239"/>
          </a:xfrm>
          <a:prstGeom prst="rect">
            <a:avLst/>
          </a:prstGeom>
          <a:noFill/>
          <a:ln w="9525" cmpd="sng">
            <a:noFill/>
          </a:ln>
        </xdr:spPr>
        <xdr:txBody>
          <a:bodyPr vertOverflow="clip" wrap="square" lIns="18000" tIns="10800" rIns="18000" bIns="10800"/>
          <a:p>
            <a:pPr algn="l">
              <a:defRPr/>
            </a:pPr>
            <a:r>
              <a:rPr lang="en-US" cap="none" sz="1000" b="0" i="0" u="none" baseline="0">
                <a:solidFill>
                  <a:srgbClr val="000000"/>
                </a:solidFill>
              </a:rPr>
              <a:t>d/2
</a:t>
            </a:r>
          </a:p>
        </xdr:txBody>
      </xdr:sp>
      <xdr:sp>
        <xdr:nvSpPr>
          <xdr:cNvPr id="152" name="Line 163"/>
          <xdr:cNvSpPr>
            <a:spLocks/>
          </xdr:cNvSpPr>
        </xdr:nvSpPr>
        <xdr:spPr>
          <a:xfrm flipV="1">
            <a:off x="14141983" y="1856335"/>
            <a:ext cx="331801" cy="84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3" name="Text Box 164"/>
          <xdr:cNvSpPr txBox="1">
            <a:spLocks noChangeArrowheads="1"/>
          </xdr:cNvSpPr>
        </xdr:nvSpPr>
        <xdr:spPr>
          <a:xfrm>
            <a:off x="14605468" y="1659855"/>
            <a:ext cx="345281" cy="209183"/>
          </a:xfrm>
          <a:prstGeom prst="rect">
            <a:avLst/>
          </a:prstGeom>
          <a:noFill/>
          <a:ln w="9525" cmpd="sng">
            <a:noFill/>
          </a:ln>
        </xdr:spPr>
        <xdr:txBody>
          <a:bodyPr vertOverflow="clip" wrap="square" lIns="18000" tIns="10800" rIns="18000" bIns="10800"/>
          <a:p>
            <a:pPr algn="l">
              <a:defRPr/>
            </a:pPr>
            <a:r>
              <a:rPr lang="en-US" cap="none" sz="1000" b="0" i="0" u="none" baseline="0">
                <a:solidFill>
                  <a:srgbClr val="000000"/>
                </a:solidFill>
              </a:rPr>
              <a:t>d/2
</a:t>
            </a:r>
          </a:p>
        </xdr:txBody>
      </xdr:sp>
      <xdr:sp>
        <xdr:nvSpPr>
          <xdr:cNvPr id="154" name="Straight Connector 1131"/>
          <xdr:cNvSpPr>
            <a:spLocks/>
          </xdr:cNvSpPr>
        </xdr:nvSpPr>
        <xdr:spPr>
          <a:xfrm rot="16200000" flipH="1">
            <a:off x="11876402" y="1098363"/>
            <a:ext cx="0" cy="132285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5" name="Line 208"/>
          <xdr:cNvSpPr>
            <a:spLocks/>
          </xdr:cNvSpPr>
        </xdr:nvSpPr>
        <xdr:spPr>
          <a:xfrm>
            <a:off x="11894029" y="2161218"/>
            <a:ext cx="294474"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6" name="Text Box 210"/>
          <xdr:cNvSpPr txBox="1">
            <a:spLocks noChangeArrowheads="1"/>
          </xdr:cNvSpPr>
        </xdr:nvSpPr>
        <xdr:spPr>
          <a:xfrm>
            <a:off x="11895066" y="1964314"/>
            <a:ext cx="296547" cy="180812"/>
          </a:xfrm>
          <a:prstGeom prst="rect">
            <a:avLst/>
          </a:prstGeom>
          <a:noFill/>
          <a:ln w="9525" cmpd="sng">
            <a:noFill/>
          </a:ln>
        </xdr:spPr>
        <xdr:txBody>
          <a:bodyPr vertOverflow="clip" wrap="square" lIns="18000" tIns="10800" rIns="18000" bIns="10800"/>
          <a:p>
            <a:pPr algn="l">
              <a:defRPr/>
            </a:pPr>
            <a:r>
              <a:rPr lang="en-US" cap="none" sz="900" b="1" i="0" u="none" baseline="0">
                <a:solidFill>
                  <a:srgbClr val="FF0000"/>
                </a:solidFill>
              </a:rPr>
              <a:t>FOH
</a:t>
            </a:r>
          </a:p>
        </xdr:txBody>
      </xdr:sp>
      <xdr:sp>
        <xdr:nvSpPr>
          <xdr:cNvPr id="157" name="Straight Connector 1134"/>
          <xdr:cNvSpPr>
            <a:spLocks/>
          </xdr:cNvSpPr>
        </xdr:nvSpPr>
        <xdr:spPr>
          <a:xfrm rot="16200000" flipH="1">
            <a:off x="14864688" y="1364712"/>
            <a:ext cx="0" cy="106581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8" name="Text Box 210"/>
          <xdr:cNvSpPr txBox="1">
            <a:spLocks noChangeArrowheads="1"/>
          </xdr:cNvSpPr>
        </xdr:nvSpPr>
        <xdr:spPr>
          <a:xfrm>
            <a:off x="14453047" y="1992686"/>
            <a:ext cx="334912" cy="180812"/>
          </a:xfrm>
          <a:prstGeom prst="rect">
            <a:avLst/>
          </a:prstGeom>
          <a:noFill/>
          <a:ln w="9525" cmpd="sng">
            <a:noFill/>
          </a:ln>
        </xdr:spPr>
        <xdr:txBody>
          <a:bodyPr vertOverflow="clip" wrap="square" lIns="18000" tIns="10800" rIns="18000" bIns="10800"/>
          <a:p>
            <a:pPr algn="l">
              <a:defRPr/>
            </a:pPr>
            <a:r>
              <a:rPr lang="en-US" cap="none" sz="900" b="1" i="0" u="none" baseline="0">
                <a:solidFill>
                  <a:srgbClr val="FF0000"/>
                </a:solidFill>
              </a:rPr>
              <a:t>ROH
</a:t>
            </a:r>
          </a:p>
        </xdr:txBody>
      </xdr:sp>
      <xdr:sp>
        <xdr:nvSpPr>
          <xdr:cNvPr id="159" name="Straight Arrow Connector 1136"/>
          <xdr:cNvSpPr>
            <a:spLocks/>
          </xdr:cNvSpPr>
        </xdr:nvSpPr>
        <xdr:spPr>
          <a:xfrm>
            <a:off x="14347285" y="2183237"/>
            <a:ext cx="508071" cy="9316"/>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0" name="Rounded Rectangle 163"/>
          <xdr:cNvSpPr>
            <a:spLocks/>
          </xdr:cNvSpPr>
        </xdr:nvSpPr>
        <xdr:spPr>
          <a:xfrm>
            <a:off x="11827669" y="1145789"/>
            <a:ext cx="47696" cy="57166"/>
          </a:xfrm>
          <a:prstGeom prst="round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1" name="Straight Connector 164"/>
          <xdr:cNvSpPr>
            <a:spLocks/>
          </xdr:cNvSpPr>
        </xdr:nvSpPr>
        <xdr:spPr>
          <a:xfrm rot="10800000" flipV="1">
            <a:off x="11827669" y="1174583"/>
            <a:ext cx="0" cy="107513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2" name="Line 208"/>
          <xdr:cNvSpPr>
            <a:spLocks/>
          </xdr:cNvSpPr>
        </xdr:nvSpPr>
        <xdr:spPr>
          <a:xfrm>
            <a:off x="11526974" y="2161641"/>
            <a:ext cx="290326"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3" name="Text Box 210"/>
          <xdr:cNvSpPr txBox="1">
            <a:spLocks noChangeArrowheads="1"/>
          </xdr:cNvSpPr>
        </xdr:nvSpPr>
        <xdr:spPr>
          <a:xfrm>
            <a:off x="11531121" y="1964314"/>
            <a:ext cx="239519" cy="180812"/>
          </a:xfrm>
          <a:prstGeom prst="rect">
            <a:avLst/>
          </a:prstGeom>
          <a:noFill/>
          <a:ln w="9525" cmpd="sng">
            <a:noFill/>
          </a:ln>
        </xdr:spPr>
        <xdr:txBody>
          <a:bodyPr vertOverflow="clip" wrap="square" lIns="18000" tIns="10800" rIns="18000" bIns="10800"/>
          <a:p>
            <a:pPr algn="l">
              <a:defRPr/>
            </a:pPr>
            <a:r>
              <a:rPr lang="en-US" cap="none" sz="900" b="1" i="0" u="none" baseline="0">
                <a:solidFill>
                  <a:srgbClr val="FF0000"/>
                </a:solidFill>
              </a:rPr>
              <a:t>Fnt
</a:t>
            </a:r>
          </a:p>
        </xdr:txBody>
      </xdr:sp>
      <xdr:sp>
        <xdr:nvSpPr>
          <xdr:cNvPr id="164" name="Straight Connector 169"/>
          <xdr:cNvSpPr>
            <a:spLocks/>
          </xdr:cNvSpPr>
        </xdr:nvSpPr>
        <xdr:spPr>
          <a:xfrm rot="5400000" flipH="1" flipV="1">
            <a:off x="11856701" y="2125648"/>
            <a:ext cx="0" cy="76644"/>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5" name="Rounded Rectangle 170"/>
          <xdr:cNvSpPr>
            <a:spLocks/>
          </xdr:cNvSpPr>
        </xdr:nvSpPr>
        <xdr:spPr>
          <a:xfrm>
            <a:off x="14855356" y="1336341"/>
            <a:ext cx="47696" cy="57166"/>
          </a:xfrm>
          <a:prstGeom prst="round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6" name="Straight Connector 171"/>
          <xdr:cNvSpPr>
            <a:spLocks/>
          </xdr:cNvSpPr>
        </xdr:nvSpPr>
        <xdr:spPr>
          <a:xfrm rot="16200000" flipH="1">
            <a:off x="14903052" y="1374451"/>
            <a:ext cx="9332" cy="89432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7" name="Text Box 210"/>
          <xdr:cNvSpPr txBox="1">
            <a:spLocks noChangeArrowheads="1"/>
          </xdr:cNvSpPr>
        </xdr:nvSpPr>
        <xdr:spPr>
          <a:xfrm>
            <a:off x="15027478" y="2021480"/>
            <a:ext cx="277884" cy="161757"/>
          </a:xfrm>
          <a:prstGeom prst="rect">
            <a:avLst/>
          </a:prstGeom>
          <a:noFill/>
          <a:ln w="9525" cmpd="sng">
            <a:noFill/>
          </a:ln>
        </xdr:spPr>
        <xdr:txBody>
          <a:bodyPr vertOverflow="clip" wrap="square" lIns="18000" tIns="10800" rIns="18000" bIns="10800"/>
          <a:p>
            <a:pPr algn="l">
              <a:defRPr/>
            </a:pPr>
            <a:r>
              <a:rPr lang="en-US" cap="none" sz="900" b="1" i="0" u="none" baseline="0">
                <a:solidFill>
                  <a:srgbClr val="FF0000"/>
                </a:solidFill>
              </a:rPr>
              <a:t>Fns
</a:t>
            </a:r>
          </a:p>
        </xdr:txBody>
      </xdr:sp>
      <xdr:sp>
        <xdr:nvSpPr>
          <xdr:cNvPr id="168" name="Straight Arrow Connector 173"/>
          <xdr:cNvSpPr>
            <a:spLocks/>
          </xdr:cNvSpPr>
        </xdr:nvSpPr>
        <xdr:spPr>
          <a:xfrm>
            <a:off x="14921716" y="2192553"/>
            <a:ext cx="431342" cy="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9" name="Straight Connector 176"/>
          <xdr:cNvSpPr>
            <a:spLocks/>
          </xdr:cNvSpPr>
        </xdr:nvSpPr>
        <xdr:spPr>
          <a:xfrm flipV="1">
            <a:off x="14835655" y="2192553"/>
            <a:ext cx="11509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0" name="Text Box 154"/>
          <xdr:cNvSpPr txBox="1">
            <a:spLocks noChangeArrowheads="1"/>
          </xdr:cNvSpPr>
        </xdr:nvSpPr>
        <xdr:spPr>
          <a:xfrm>
            <a:off x="13083329" y="2183237"/>
            <a:ext cx="345281" cy="199868"/>
          </a:xfrm>
          <a:prstGeom prst="rect">
            <a:avLst/>
          </a:prstGeom>
          <a:noFill/>
          <a:ln w="9525" cmpd="sng">
            <a:noFill/>
          </a:ln>
        </xdr:spPr>
        <xdr:txBody>
          <a:bodyPr vertOverflow="clip" wrap="square" lIns="18000" tIns="10800" rIns="18000" bIns="10800"/>
          <a:p>
            <a:pPr algn="l">
              <a:defRPr/>
            </a:pPr>
            <a:r>
              <a:rPr lang="en-US" cap="none" sz="1200" b="1" i="0" u="none" baseline="0">
                <a:solidFill>
                  <a:srgbClr val="FF0000"/>
                </a:solidFill>
              </a:rPr>
              <a:t>LsmWB
</a:t>
            </a:r>
          </a:p>
        </xdr:txBody>
      </xdr:sp>
      <xdr:sp>
        <xdr:nvSpPr>
          <xdr:cNvPr id="171" name="Straight Arrow Connector 186"/>
          <xdr:cNvSpPr>
            <a:spLocks/>
          </xdr:cNvSpPr>
        </xdr:nvSpPr>
        <xdr:spPr>
          <a:xfrm>
            <a:off x="11885734" y="2373365"/>
            <a:ext cx="2978954" cy="9316"/>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2" name="Line Callout 1 175"/>
          <xdr:cNvSpPr>
            <a:spLocks/>
          </xdr:cNvSpPr>
        </xdr:nvSpPr>
        <xdr:spPr>
          <a:xfrm>
            <a:off x="12192650" y="774848"/>
            <a:ext cx="1954517" cy="171073"/>
          </a:xfrm>
          <a:prstGeom prst="borderCallout1">
            <a:avLst>
              <a:gd name="adj1" fmla="val -65458"/>
              <a:gd name="adj2" fmla="val 187685"/>
              <a:gd name="adj3" fmla="val -49759"/>
              <a:gd name="adj4" fmla="val 4476"/>
            </a:avLst>
          </a:prstGeom>
          <a:solidFill>
            <a:srgbClr val="FFFFFF"/>
          </a:solidFill>
          <a:ln w="3175" cmpd="sng">
            <a:solidFill>
              <a:srgbClr val="4F81BD"/>
            </a:solidFill>
            <a:prstDash val="sysDash"/>
            <a:headEnd type="oval"/>
            <a:tailEnd type="oval"/>
          </a:ln>
        </xdr:spPr>
        <xdr:txBody>
          <a:bodyPr vertOverflow="clip" wrap="square" lIns="91440" tIns="45720" rIns="91440" bIns="45720" anchor="ctr"/>
          <a:p>
            <a:pPr algn="ctr">
              <a:defRPr/>
            </a:pPr>
            <a:r>
              <a:rPr lang="en-US" cap="none" sz="1100" b="0" i="0" u="none" baseline="0">
                <a:solidFill>
                  <a:srgbClr val="000000"/>
                </a:solidFill>
              </a:rPr>
              <a:t>Vị</a:t>
            </a:r>
            <a:r>
              <a:rPr lang="en-US" cap="none" sz="1100" b="0" i="0" u="none" baseline="0">
                <a:solidFill>
                  <a:srgbClr val="000000"/>
                </a:solidFill>
              </a:rPr>
              <a:t> trí chốt khóa container</a:t>
            </a:r>
          </a:p>
        </xdr:txBody>
      </xdr:sp>
      <xdr:sp>
        <xdr:nvSpPr>
          <xdr:cNvPr id="173" name="Straight Arrow Connector 178"/>
          <xdr:cNvSpPr>
            <a:spLocks/>
          </xdr:cNvSpPr>
        </xdr:nvSpPr>
        <xdr:spPr>
          <a:xfrm>
            <a:off x="14146131" y="860385"/>
            <a:ext cx="709225" cy="399735"/>
          </a:xfrm>
          <a:prstGeom prst="straightConnector1">
            <a:avLst/>
          </a:prstGeom>
          <a:noFill/>
          <a:ln w="3175" cmpd="sng">
            <a:solidFill>
              <a:srgbClr val="4A7EBB"/>
            </a:solidFill>
            <a:prstDash val="sysDash"/>
            <a:headEnd type="oval"/>
            <a:tailEnd type="ova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32</xdr:row>
      <xdr:rowOff>47625</xdr:rowOff>
    </xdr:from>
    <xdr:to>
      <xdr:col>9</xdr:col>
      <xdr:colOff>762000</xdr:colOff>
      <xdr:row>32</xdr:row>
      <xdr:rowOff>247650</xdr:rowOff>
    </xdr:to>
    <xdr:sp>
      <xdr:nvSpPr>
        <xdr:cNvPr id="1" name="AutoShape 7"/>
        <xdr:cNvSpPr>
          <a:spLocks/>
        </xdr:cNvSpPr>
      </xdr:nvSpPr>
      <xdr:spPr>
        <a:xfrm>
          <a:off x="10839450" y="10706100"/>
          <a:ext cx="704850" cy="200025"/>
        </a:xfrm>
        <a:prstGeom prst="rightArrow">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161925</xdr:colOff>
      <xdr:row>1</xdr:row>
      <xdr:rowOff>66675</xdr:rowOff>
    </xdr:from>
    <xdr:to>
      <xdr:col>8</xdr:col>
      <xdr:colOff>828675</xdr:colOff>
      <xdr:row>1</xdr:row>
      <xdr:rowOff>276225</xdr:rowOff>
    </xdr:to>
    <xdr:sp macro="[1]!In_ket_qua_SMRM">
      <xdr:nvSpPr>
        <xdr:cNvPr id="2" name="Text Box 12"/>
        <xdr:cNvSpPr txBox="1">
          <a:spLocks noChangeArrowheads="1"/>
        </xdr:cNvSpPr>
      </xdr:nvSpPr>
      <xdr:spPr>
        <a:xfrm>
          <a:off x="9972675" y="590550"/>
          <a:ext cx="666750" cy="209550"/>
        </a:xfrm>
        <a:prstGeom prst="rect">
          <a:avLst/>
        </a:prstGeom>
        <a:solidFill>
          <a:srgbClr val="FF99CC"/>
        </a:solidFill>
        <a:ln w="19050"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Print</a:t>
          </a:r>
        </a:p>
      </xdr:txBody>
    </xdr:sp>
    <xdr:clientData/>
  </xdr:twoCellAnchor>
  <xdr:twoCellAnchor>
    <xdr:from>
      <xdr:col>9</xdr:col>
      <xdr:colOff>209550</xdr:colOff>
      <xdr:row>2</xdr:row>
      <xdr:rowOff>57150</xdr:rowOff>
    </xdr:from>
    <xdr:to>
      <xdr:col>11</xdr:col>
      <xdr:colOff>314325</xdr:colOff>
      <xdr:row>4</xdr:row>
      <xdr:rowOff>1000125</xdr:rowOff>
    </xdr:to>
    <xdr:sp>
      <xdr:nvSpPr>
        <xdr:cNvPr id="3" name="Text Box 35"/>
        <xdr:cNvSpPr txBox="1">
          <a:spLocks noChangeArrowheads="1"/>
        </xdr:cNvSpPr>
      </xdr:nvSpPr>
      <xdr:spPr>
        <a:xfrm>
          <a:off x="10991850" y="942975"/>
          <a:ext cx="3219450" cy="1562100"/>
        </a:xfrm>
        <a:prstGeom prst="rect">
          <a:avLst/>
        </a:prstGeom>
        <a:solidFill>
          <a:srgbClr val="B7DEE8"/>
        </a:solidFill>
        <a:ln w="19050" cmpd="sng">
          <a:solidFill>
            <a:srgbClr val="0000FF"/>
          </a:solidFill>
          <a:headEnd type="none"/>
          <a:tailEnd type="none"/>
        </a:ln>
      </xdr:spPr>
      <xdr:txBody>
        <a:bodyPr vertOverflow="clip" wrap="square" lIns="27432" tIns="22860" rIns="0" bIns="22860" anchor="ctr"/>
        <a:p>
          <a:pPr algn="l">
            <a:defRPr/>
          </a:pPr>
          <a:r>
            <a:rPr lang="en-US" cap="none" sz="900" b="1" i="1" u="none" baseline="0">
              <a:solidFill>
                <a:srgbClr val="0000FF"/>
              </a:solidFill>
              <a:latin typeface="Arial"/>
              <a:ea typeface="Arial"/>
              <a:cs typeface="Arial"/>
            </a:rPr>
            <a:t>Lưu ý:
</a:t>
          </a:r>
          <a:r>
            <a:rPr lang="en-US" cap="none" sz="900" b="0" i="1" u="none" baseline="0">
              <a:solidFill>
                <a:srgbClr val="0000FF"/>
              </a:solidFill>
              <a:latin typeface="Arial"/>
              <a:ea typeface="Arial"/>
              <a:cs typeface="Arial"/>
            </a:rPr>
            <a:t>
</a:t>
          </a:r>
          <a:r>
            <a:rPr lang="en-US" cap="none" sz="900" b="0" i="1" u="none" baseline="0">
              <a:solidFill>
                <a:srgbClr val="0000FF"/>
              </a:solidFill>
              <a:latin typeface="Arial"/>
              <a:ea typeface="Arial"/>
              <a:cs typeface="Arial"/>
            </a:rPr>
            <a:t>1. Chỉ </a:t>
          </a:r>
          <a:r>
            <a:rPr lang="en-US" cap="none" sz="900" b="0" i="1" u="none" baseline="0">
              <a:solidFill>
                <a:srgbClr val="0000FF"/>
              </a:solidFill>
              <a:latin typeface="Arial"/>
              <a:ea typeface="Arial"/>
              <a:cs typeface="Arial"/>
            </a:rPr>
            <a:t>cần</a:t>
          </a:r>
          <a:r>
            <a:rPr lang="en-US" cap="none" sz="900" b="0" i="1" u="none" baseline="0">
              <a:solidFill>
                <a:srgbClr val="0000FF"/>
              </a:solidFill>
              <a:latin typeface="Arial"/>
              <a:ea typeface="Arial"/>
              <a:cs typeface="Arial"/>
            </a:rPr>
            <a:t> chọn đầu kéo mẫu tại</a:t>
          </a:r>
          <a:r>
            <a:rPr lang="en-US" cap="none" sz="900" b="0" i="1" u="none" baseline="0">
              <a:solidFill>
                <a:srgbClr val="0000FF"/>
              </a:solidFill>
              <a:latin typeface="Arial"/>
              <a:ea typeface="Arial"/>
              <a:cs typeface="Arial"/>
            </a:rPr>
            <a:t> ô có màu Vàng;
</a:t>
          </a:r>
          <a:r>
            <a:rPr lang="en-US" cap="none" sz="900" b="0" i="1" u="none" baseline="0">
              <a:solidFill>
                <a:srgbClr val="0000FF"/>
              </a:solidFill>
              <a:latin typeface="Arial"/>
              <a:ea typeface="Arial"/>
              <a:cs typeface="Arial"/>
            </a:rPr>
            <a:t>để có kết quả tối ưu về khối lượng chuyên chở CPTGGT của </a:t>
          </a:r>
          <a:r>
            <a:rPr lang="en-US" cap="none" sz="900" b="0" i="1" u="none" baseline="0">
              <a:solidFill>
                <a:srgbClr val="0000FF"/>
              </a:solidFill>
              <a:latin typeface="Arial"/>
              <a:ea typeface="Arial"/>
              <a:cs typeface="Arial"/>
            </a:rPr>
            <a:t>
</a:t>
          </a:r>
          <a:r>
            <a:rPr lang="en-US" cap="none" sz="900" b="0" i="1" u="none" baseline="0">
              <a:solidFill>
                <a:srgbClr val="0000FF"/>
              </a:solidFill>
              <a:latin typeface="Arial"/>
              <a:ea typeface="Arial"/>
              <a:cs typeface="Arial"/>
            </a:rPr>
            <a:t>SMRM;
</a:t>
          </a:r>
          <a:r>
            <a:rPr lang="en-US" cap="none" sz="900" b="0" i="1" u="none" baseline="0">
              <a:solidFill>
                <a:srgbClr val="0000FF"/>
              </a:solidFill>
              <a:latin typeface="Arial"/>
              <a:ea typeface="Arial"/>
              <a:cs typeface="Arial"/>
            </a:rPr>
            <a:t>2. Các giá trị còn lại được tự động lấy từ bảng tính toán sơ bộ;
</a:t>
          </a:r>
          <a:r>
            <a:rPr lang="en-US" cap="none" sz="900" b="0" i="1" u="none" baseline="0">
              <a:solidFill>
                <a:srgbClr val="FF0000"/>
              </a:solidFill>
              <a:latin typeface="Arial"/>
              <a:ea typeface="Arial"/>
              <a:cs typeface="Arial"/>
            </a:rPr>
            <a:t>
</a:t>
          </a:r>
          <a:r>
            <a:rPr lang="en-US" cap="none" sz="900" b="0" i="1" u="none" baseline="0">
              <a:solidFill>
                <a:srgbClr val="FF0000"/>
              </a:solidFill>
              <a:latin typeface="Arial"/>
              <a:ea typeface="Arial"/>
              <a:cs typeface="Arial"/>
            </a:rPr>
            <a:t>3</a:t>
          </a:r>
          <a:r>
            <a:rPr lang="en-US" cap="none" sz="900" b="0" i="1" u="none" baseline="0">
              <a:solidFill>
                <a:srgbClr val="FF0000"/>
              </a:solidFill>
              <a:latin typeface="Arial"/>
              <a:ea typeface="Arial"/>
              <a:cs typeface="Arial"/>
            </a:rPr>
            <a:t>. Các giá trị giới hạn như Tải trọng trục xe... được phần mềm tự động lựa chọn theo Số trục xe và chiều dài cơ sở, người sử dụng không cần nhập.</a:t>
          </a:r>
          <a:r>
            <a:rPr lang="en-US" cap="none" sz="800" b="0" i="1" u="none" baseline="0">
              <a:solidFill>
                <a:srgbClr val="0000FF"/>
              </a:solidFill>
              <a:latin typeface="Arial"/>
              <a:ea typeface="Arial"/>
              <a:cs typeface="Arial"/>
            </a:rPr>
            <a:t>
</a:t>
          </a:r>
        </a:p>
      </xdr:txBody>
    </xdr:sp>
    <xdr:clientData/>
  </xdr:twoCellAnchor>
  <xdr:twoCellAnchor>
    <xdr:from>
      <xdr:col>9</xdr:col>
      <xdr:colOff>57150</xdr:colOff>
      <xdr:row>38</xdr:row>
      <xdr:rowOff>95250</xdr:rowOff>
    </xdr:from>
    <xdr:to>
      <xdr:col>9</xdr:col>
      <xdr:colOff>771525</xdr:colOff>
      <xdr:row>38</xdr:row>
      <xdr:rowOff>285750</xdr:rowOff>
    </xdr:to>
    <xdr:sp>
      <xdr:nvSpPr>
        <xdr:cNvPr id="4" name="AutoShape 7"/>
        <xdr:cNvSpPr>
          <a:spLocks/>
        </xdr:cNvSpPr>
      </xdr:nvSpPr>
      <xdr:spPr>
        <a:xfrm>
          <a:off x="10839450" y="12639675"/>
          <a:ext cx="714375" cy="190500"/>
        </a:xfrm>
        <a:prstGeom prst="rightArrow">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76200</xdr:rowOff>
    </xdr:from>
    <xdr:to>
      <xdr:col>9</xdr:col>
      <xdr:colOff>314325</xdr:colOff>
      <xdr:row>24</xdr:row>
      <xdr:rowOff>152400</xdr:rowOff>
    </xdr:to>
    <xdr:grpSp>
      <xdr:nvGrpSpPr>
        <xdr:cNvPr id="1" name="Group 94"/>
        <xdr:cNvGrpSpPr>
          <a:grpSpLocks/>
        </xdr:cNvGrpSpPr>
      </xdr:nvGrpSpPr>
      <xdr:grpSpPr>
        <a:xfrm>
          <a:off x="76200" y="1066800"/>
          <a:ext cx="5553075" cy="5105400"/>
          <a:chOff x="76200" y="1071302"/>
          <a:chExt cx="5584099" cy="3388055"/>
        </a:xfrm>
        <a:solidFill>
          <a:srgbClr val="FFFFFF"/>
        </a:solidFill>
      </xdr:grpSpPr>
      <xdr:sp>
        <xdr:nvSpPr>
          <xdr:cNvPr id="2" name="Straight Connector 85"/>
          <xdr:cNvSpPr>
            <a:spLocks/>
          </xdr:cNvSpPr>
        </xdr:nvSpPr>
        <xdr:spPr>
          <a:xfrm>
            <a:off x="3176771" y="3486138"/>
            <a:ext cx="1474202" cy="9317"/>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 name="Group 29"/>
          <xdr:cNvGrpSpPr>
            <a:grpSpLocks/>
          </xdr:cNvGrpSpPr>
        </xdr:nvGrpSpPr>
        <xdr:grpSpPr>
          <a:xfrm>
            <a:off x="451731" y="1958125"/>
            <a:ext cx="4516140" cy="934256"/>
            <a:chOff x="5443" y="3039"/>
            <a:chExt cx="1660" cy="742"/>
          </a:xfrm>
          <a:solidFill>
            <a:srgbClr val="FFFFFF"/>
          </a:solidFill>
        </xdr:grpSpPr>
        <xdr:sp>
          <xdr:nvSpPr>
            <xdr:cNvPr id="4" name="Rectangle 30"/>
            <xdr:cNvSpPr>
              <a:spLocks/>
            </xdr:cNvSpPr>
          </xdr:nvSpPr>
          <xdr:spPr>
            <a:xfrm>
              <a:off x="5443" y="3039"/>
              <a:ext cx="1660" cy="742"/>
            </a:xfrm>
            <a:prstGeom prst="rect">
              <a:avLst/>
            </a:prstGeom>
            <a:solidFill>
              <a:srgbClr val="FFFFFF"/>
            </a:solid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31"/>
            <xdr:cNvSpPr>
              <a:spLocks/>
            </xdr:cNvSpPr>
          </xdr:nvSpPr>
          <xdr:spPr>
            <a:xfrm>
              <a:off x="5443" y="3039"/>
              <a:ext cx="1660" cy="742"/>
            </a:xfrm>
            <a:prstGeom prst="straightConnector1">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32"/>
            <xdr:cNvSpPr>
              <a:spLocks/>
            </xdr:cNvSpPr>
          </xdr:nvSpPr>
          <xdr:spPr>
            <a:xfrm flipV="1">
              <a:off x="5443" y="3039"/>
              <a:ext cx="1660" cy="742"/>
            </a:xfrm>
            <a:prstGeom prst="straightConnector1">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7" name="AutoShape 33"/>
          <xdr:cNvSpPr>
            <a:spLocks/>
          </xdr:cNvSpPr>
        </xdr:nvSpPr>
        <xdr:spPr>
          <a:xfrm>
            <a:off x="3887348" y="1509208"/>
            <a:ext cx="9772" cy="1848184"/>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34"/>
          <xdr:cNvSpPr>
            <a:spLocks/>
          </xdr:cNvSpPr>
        </xdr:nvSpPr>
        <xdr:spPr>
          <a:xfrm rot="16200000" flipH="1">
            <a:off x="2681182" y="1493962"/>
            <a:ext cx="1396" cy="939338"/>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35"/>
          <xdr:cNvSpPr>
            <a:spLocks/>
          </xdr:cNvSpPr>
        </xdr:nvSpPr>
        <xdr:spPr>
          <a:xfrm>
            <a:off x="2682578" y="1676917"/>
            <a:ext cx="1204769"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41"/>
          <xdr:cNvSpPr>
            <a:spLocks/>
          </xdr:cNvSpPr>
        </xdr:nvSpPr>
        <xdr:spPr>
          <a:xfrm>
            <a:off x="716975" y="3138863"/>
            <a:ext cx="150771" cy="132134"/>
          </a:xfrm>
          <a:prstGeom prst="flowChartExtra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Oval 42"/>
          <xdr:cNvSpPr>
            <a:spLocks/>
          </xdr:cNvSpPr>
        </xdr:nvSpPr>
        <xdr:spPr>
          <a:xfrm>
            <a:off x="746292" y="3101594"/>
            <a:ext cx="94930" cy="104183"/>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52"/>
          <xdr:cNvSpPr>
            <a:spLocks/>
          </xdr:cNvSpPr>
        </xdr:nvSpPr>
        <xdr:spPr>
          <a:xfrm>
            <a:off x="795153" y="2765330"/>
            <a:ext cx="0" cy="349817"/>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56"/>
          <xdr:cNvSpPr>
            <a:spLocks/>
          </xdr:cNvSpPr>
        </xdr:nvSpPr>
        <xdr:spPr>
          <a:xfrm flipV="1">
            <a:off x="3897120" y="3714832"/>
            <a:ext cx="0" cy="349817"/>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5" name="Group 58"/>
          <xdr:cNvGrpSpPr>
            <a:grpSpLocks/>
          </xdr:cNvGrpSpPr>
        </xdr:nvGrpSpPr>
        <xdr:grpSpPr>
          <a:xfrm>
            <a:off x="3746349" y="3365862"/>
            <a:ext cx="312710" cy="329488"/>
            <a:chOff x="3138" y="2808"/>
            <a:chExt cx="198" cy="198"/>
          </a:xfrm>
          <a:solidFill>
            <a:srgbClr val="FFFFFF"/>
          </a:solidFill>
        </xdr:grpSpPr>
        <xdr:sp>
          <xdr:nvSpPr>
            <xdr:cNvPr id="16" name="Oval 59"/>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Line 60"/>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Line 61"/>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9" name="Group 62"/>
          <xdr:cNvGrpSpPr>
            <a:grpSpLocks/>
          </xdr:cNvGrpSpPr>
        </xdr:nvGrpSpPr>
        <xdr:grpSpPr>
          <a:xfrm>
            <a:off x="4197265" y="3365862"/>
            <a:ext cx="312710" cy="329488"/>
            <a:chOff x="3138" y="2808"/>
            <a:chExt cx="198" cy="198"/>
          </a:xfrm>
          <a:solidFill>
            <a:srgbClr val="FFFFFF"/>
          </a:solidFill>
        </xdr:grpSpPr>
        <xdr:sp>
          <xdr:nvSpPr>
            <xdr:cNvPr id="20" name="Oval 63"/>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Line 64"/>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Line 65"/>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23" name="Group 66"/>
          <xdr:cNvGrpSpPr>
            <a:grpSpLocks/>
          </xdr:cNvGrpSpPr>
        </xdr:nvGrpSpPr>
        <xdr:grpSpPr>
          <a:xfrm>
            <a:off x="3302413" y="3365862"/>
            <a:ext cx="321086" cy="329488"/>
            <a:chOff x="3138" y="2808"/>
            <a:chExt cx="198" cy="198"/>
          </a:xfrm>
          <a:solidFill>
            <a:srgbClr val="FFFFFF"/>
          </a:solidFill>
        </xdr:grpSpPr>
        <xdr:sp>
          <xdr:nvSpPr>
            <xdr:cNvPr id="24" name="Oval 67"/>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Line 68"/>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Line 69"/>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27" name="Text Box 78"/>
          <xdr:cNvSpPr txBox="1">
            <a:spLocks noChangeArrowheads="1"/>
          </xdr:cNvSpPr>
        </xdr:nvSpPr>
        <xdr:spPr>
          <a:xfrm>
            <a:off x="2382433" y="2492591"/>
            <a:ext cx="295957" cy="184649"/>
          </a:xfrm>
          <a:prstGeom prst="rect">
            <a:avLst/>
          </a:prstGeom>
          <a:noFill/>
          <a:ln w="9525" cmpd="sng">
            <a:noFill/>
          </a:ln>
        </xdr:spPr>
        <xdr:txBody>
          <a:bodyPr vertOverflow="clip" wrap="square" lIns="18000" tIns="10800" rIns="18000" bIns="10800"/>
          <a:p>
            <a:pPr algn="l">
              <a:defRPr/>
            </a:pPr>
            <a:r>
              <a:rPr lang="en-US" cap="none" sz="1000" b="1" i="0" u="none" baseline="0">
                <a:solidFill>
                  <a:srgbClr val="000000"/>
                </a:solidFill>
              </a:rPr>
              <a:t>Q
</a:t>
            </a:r>
          </a:p>
        </xdr:txBody>
      </xdr:sp>
      <xdr:sp>
        <xdr:nvSpPr>
          <xdr:cNvPr id="28" name="AutoShape 79"/>
          <xdr:cNvSpPr>
            <a:spLocks/>
          </xdr:cNvSpPr>
        </xdr:nvSpPr>
        <xdr:spPr>
          <a:xfrm rot="5400000">
            <a:off x="-612039" y="2034357"/>
            <a:ext cx="1927910" cy="2541"/>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80"/>
          <xdr:cNvSpPr>
            <a:spLocks/>
          </xdr:cNvSpPr>
        </xdr:nvSpPr>
        <xdr:spPr>
          <a:xfrm rot="16200000" flipH="1">
            <a:off x="5078157" y="1106877"/>
            <a:ext cx="1396" cy="1982859"/>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82"/>
          <xdr:cNvSpPr>
            <a:spLocks/>
          </xdr:cNvSpPr>
        </xdr:nvSpPr>
        <xdr:spPr>
          <a:xfrm>
            <a:off x="359593" y="1216141"/>
            <a:ext cx="4714376" cy="8470"/>
          </a:xfrm>
          <a:prstGeom prst="straightConnector1">
            <a:avLst/>
          </a:prstGeom>
          <a:noFill/>
          <a:ln w="317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Straight Connector 59"/>
          <xdr:cNvSpPr>
            <a:spLocks/>
          </xdr:cNvSpPr>
        </xdr:nvSpPr>
        <xdr:spPr>
          <a:xfrm>
            <a:off x="401474" y="3709750"/>
            <a:ext cx="4669703" cy="931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Straight Connector 61"/>
          <xdr:cNvSpPr>
            <a:spLocks/>
          </xdr:cNvSpPr>
        </xdr:nvSpPr>
        <xdr:spPr>
          <a:xfrm rot="16200000" flipH="1">
            <a:off x="401474" y="3115993"/>
            <a:ext cx="0" cy="983383"/>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Straight Connector 62"/>
          <xdr:cNvSpPr>
            <a:spLocks/>
          </xdr:cNvSpPr>
        </xdr:nvSpPr>
        <xdr:spPr>
          <a:xfrm rot="16200000" flipH="1">
            <a:off x="793757" y="3271844"/>
            <a:ext cx="0" cy="82753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Straight Connector 63"/>
          <xdr:cNvSpPr>
            <a:spLocks/>
          </xdr:cNvSpPr>
        </xdr:nvSpPr>
        <xdr:spPr>
          <a:xfrm rot="5400000">
            <a:off x="4430401" y="3865600"/>
            <a:ext cx="1188017"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Straight Connector 64"/>
          <xdr:cNvSpPr>
            <a:spLocks/>
          </xdr:cNvSpPr>
        </xdr:nvSpPr>
        <xdr:spPr>
          <a:xfrm rot="16200000" flipH="1">
            <a:off x="3894328" y="3924044"/>
            <a:ext cx="0" cy="535313"/>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Straight Arrow Connector 68"/>
          <xdr:cNvSpPr>
            <a:spLocks/>
          </xdr:cNvSpPr>
        </xdr:nvSpPr>
        <xdr:spPr>
          <a:xfrm>
            <a:off x="832845" y="4001970"/>
            <a:ext cx="2584042" cy="9317"/>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Straight Arrow Connector 70"/>
          <xdr:cNvSpPr>
            <a:spLocks/>
          </xdr:cNvSpPr>
        </xdr:nvSpPr>
        <xdr:spPr>
          <a:xfrm>
            <a:off x="401474" y="4011287"/>
            <a:ext cx="372739"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Straight Arrow Connector 72"/>
          <xdr:cNvSpPr>
            <a:spLocks/>
          </xdr:cNvSpPr>
        </xdr:nvSpPr>
        <xdr:spPr>
          <a:xfrm>
            <a:off x="3913872" y="4352633"/>
            <a:ext cx="110984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Straight Connector 75"/>
          <xdr:cNvSpPr>
            <a:spLocks/>
          </xdr:cNvSpPr>
        </xdr:nvSpPr>
        <xdr:spPr>
          <a:xfrm rot="5400000">
            <a:off x="3264721" y="3909645"/>
            <a:ext cx="360174" cy="0"/>
          </a:xfrm>
          <a:prstGeom prst="line">
            <a:avLst/>
          </a:prstGeom>
          <a:noFill/>
          <a:ln w="317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Straight Connector 76"/>
          <xdr:cNvSpPr>
            <a:spLocks/>
          </xdr:cNvSpPr>
        </xdr:nvSpPr>
        <xdr:spPr>
          <a:xfrm rot="5400000">
            <a:off x="4183305" y="3899481"/>
            <a:ext cx="360174" cy="0"/>
          </a:xfrm>
          <a:prstGeom prst="line">
            <a:avLst/>
          </a:prstGeom>
          <a:noFill/>
          <a:ln w="317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Straight Arrow Connector 78"/>
          <xdr:cNvSpPr>
            <a:spLocks/>
          </xdr:cNvSpPr>
        </xdr:nvSpPr>
        <xdr:spPr>
          <a:xfrm>
            <a:off x="3472728" y="4011287"/>
            <a:ext cx="382511"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Straight Arrow Connector 79"/>
          <xdr:cNvSpPr>
            <a:spLocks/>
          </xdr:cNvSpPr>
        </xdr:nvSpPr>
        <xdr:spPr>
          <a:xfrm>
            <a:off x="3913872" y="4011287"/>
            <a:ext cx="44952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Straight Connector 87"/>
          <xdr:cNvSpPr>
            <a:spLocks/>
          </xdr:cNvSpPr>
        </xdr:nvSpPr>
        <xdr:spPr>
          <a:xfrm rot="16200000" flipH="1">
            <a:off x="3119534" y="3252362"/>
            <a:ext cx="67009" cy="233776"/>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Straight Connector 89"/>
          <xdr:cNvSpPr>
            <a:spLocks/>
          </xdr:cNvSpPr>
        </xdr:nvSpPr>
        <xdr:spPr>
          <a:xfrm rot="5400000">
            <a:off x="4567212" y="3344687"/>
            <a:ext cx="242908" cy="57597"/>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Rectangle 45"/>
          <xdr:cNvSpPr>
            <a:spLocks/>
          </xdr:cNvSpPr>
        </xdr:nvSpPr>
        <xdr:spPr>
          <a:xfrm>
            <a:off x="354009" y="2979624"/>
            <a:ext cx="47465" cy="7792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Rectangle 46"/>
          <xdr:cNvSpPr>
            <a:spLocks/>
          </xdr:cNvSpPr>
        </xdr:nvSpPr>
        <xdr:spPr>
          <a:xfrm>
            <a:off x="5033484" y="3066866"/>
            <a:ext cx="47465" cy="7792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Straight Connector 52"/>
          <xdr:cNvSpPr>
            <a:spLocks/>
          </xdr:cNvSpPr>
        </xdr:nvSpPr>
        <xdr:spPr>
          <a:xfrm rot="16200000" flipH="1">
            <a:off x="354009" y="3047385"/>
            <a:ext cx="9772" cy="1051144"/>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Straight Arrow Connector 54"/>
          <xdr:cNvSpPr>
            <a:spLocks/>
          </xdr:cNvSpPr>
        </xdr:nvSpPr>
        <xdr:spPr>
          <a:xfrm flipV="1">
            <a:off x="76200" y="4011287"/>
            <a:ext cx="287581" cy="9317"/>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Straight Connector 58"/>
          <xdr:cNvSpPr>
            <a:spLocks/>
          </xdr:cNvSpPr>
        </xdr:nvSpPr>
        <xdr:spPr>
          <a:xfrm rot="5400000">
            <a:off x="4501598" y="3724149"/>
            <a:ext cx="1158701"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Straight Arrow Connector 60"/>
          <xdr:cNvSpPr>
            <a:spLocks/>
          </xdr:cNvSpPr>
        </xdr:nvSpPr>
        <xdr:spPr>
          <a:xfrm>
            <a:off x="5080949" y="4021451"/>
            <a:ext cx="238720" cy="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1" name="Straight Arrow Connector 66"/>
          <xdr:cNvSpPr>
            <a:spLocks/>
          </xdr:cNvSpPr>
        </xdr:nvSpPr>
        <xdr:spPr>
          <a:xfrm>
            <a:off x="4784991" y="4021451"/>
            <a:ext cx="23872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2" name="Straight Connector 69"/>
          <xdr:cNvSpPr>
            <a:spLocks/>
          </xdr:cNvSpPr>
        </xdr:nvSpPr>
        <xdr:spPr>
          <a:xfrm>
            <a:off x="334465" y="4021451"/>
            <a:ext cx="865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3" name="Straight Connector 83"/>
          <xdr:cNvSpPr>
            <a:spLocks/>
          </xdr:cNvSpPr>
        </xdr:nvSpPr>
        <xdr:spPr>
          <a:xfrm>
            <a:off x="5004167" y="4021451"/>
            <a:ext cx="9632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152400</xdr:rowOff>
    </xdr:from>
    <xdr:to>
      <xdr:col>9</xdr:col>
      <xdr:colOff>295275</xdr:colOff>
      <xdr:row>24</xdr:row>
      <xdr:rowOff>133350</xdr:rowOff>
    </xdr:to>
    <xdr:grpSp>
      <xdr:nvGrpSpPr>
        <xdr:cNvPr id="1" name="Group 52"/>
        <xdr:cNvGrpSpPr>
          <a:grpSpLocks/>
        </xdr:cNvGrpSpPr>
      </xdr:nvGrpSpPr>
      <xdr:grpSpPr>
        <a:xfrm>
          <a:off x="66675" y="981075"/>
          <a:ext cx="5553075" cy="5172075"/>
          <a:chOff x="66260" y="981074"/>
          <a:chExt cx="5550967" cy="3381221"/>
        </a:xfrm>
        <a:solidFill>
          <a:srgbClr val="FFFFFF"/>
        </a:solidFill>
      </xdr:grpSpPr>
      <xdr:sp>
        <xdr:nvSpPr>
          <xdr:cNvPr id="2" name="Straight Connector 2"/>
          <xdr:cNvSpPr>
            <a:spLocks/>
          </xdr:cNvSpPr>
        </xdr:nvSpPr>
        <xdr:spPr>
          <a:xfrm>
            <a:off x="3170638" y="3429078"/>
            <a:ext cx="1457129" cy="9298"/>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 name="Group 29"/>
          <xdr:cNvGrpSpPr>
            <a:grpSpLocks/>
          </xdr:cNvGrpSpPr>
        </xdr:nvGrpSpPr>
        <xdr:grpSpPr>
          <a:xfrm>
            <a:off x="457603" y="1937114"/>
            <a:ext cx="4489345" cy="910394"/>
            <a:chOff x="5443" y="3039"/>
            <a:chExt cx="1660" cy="742"/>
          </a:xfrm>
          <a:solidFill>
            <a:srgbClr val="FFFFFF"/>
          </a:solidFill>
        </xdr:grpSpPr>
        <xdr:sp>
          <xdr:nvSpPr>
            <xdr:cNvPr id="4" name="Rectangle 30"/>
            <xdr:cNvSpPr>
              <a:spLocks/>
            </xdr:cNvSpPr>
          </xdr:nvSpPr>
          <xdr:spPr>
            <a:xfrm>
              <a:off x="5443" y="3039"/>
              <a:ext cx="1660" cy="742"/>
            </a:xfrm>
            <a:prstGeom prst="rect">
              <a:avLst/>
            </a:prstGeom>
            <a:solidFill>
              <a:srgbClr val="FFFFFF"/>
            </a:solid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31"/>
            <xdr:cNvSpPr>
              <a:spLocks/>
            </xdr:cNvSpPr>
          </xdr:nvSpPr>
          <xdr:spPr>
            <a:xfrm>
              <a:off x="5443" y="3039"/>
              <a:ext cx="1660" cy="742"/>
            </a:xfrm>
            <a:prstGeom prst="straightConnector1">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32"/>
            <xdr:cNvSpPr>
              <a:spLocks/>
            </xdr:cNvSpPr>
          </xdr:nvSpPr>
          <xdr:spPr>
            <a:xfrm flipV="1">
              <a:off x="5443" y="3039"/>
              <a:ext cx="1660" cy="742"/>
            </a:xfrm>
            <a:prstGeom prst="straightConnector1">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7" name="AutoShape 33"/>
          <xdr:cNvSpPr>
            <a:spLocks/>
          </xdr:cNvSpPr>
        </xdr:nvSpPr>
        <xdr:spPr>
          <a:xfrm>
            <a:off x="3874223" y="1494174"/>
            <a:ext cx="9714" cy="1806417"/>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34"/>
          <xdr:cNvSpPr>
            <a:spLocks/>
          </xdr:cNvSpPr>
        </xdr:nvSpPr>
        <xdr:spPr>
          <a:xfrm rot="16200000" flipH="1">
            <a:off x="2675214" y="1478959"/>
            <a:ext cx="1388" cy="921383"/>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35"/>
          <xdr:cNvSpPr>
            <a:spLocks/>
          </xdr:cNvSpPr>
        </xdr:nvSpPr>
        <xdr:spPr>
          <a:xfrm>
            <a:off x="2676602" y="1658164"/>
            <a:ext cx="1197621"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41"/>
          <xdr:cNvSpPr>
            <a:spLocks/>
          </xdr:cNvSpPr>
        </xdr:nvSpPr>
        <xdr:spPr>
          <a:xfrm>
            <a:off x="722662" y="3091801"/>
            <a:ext cx="151264" cy="128486"/>
          </a:xfrm>
          <a:prstGeom prst="flowChartExtra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Oval 42"/>
          <xdr:cNvSpPr>
            <a:spLocks/>
          </xdr:cNvSpPr>
        </xdr:nvSpPr>
        <xdr:spPr>
          <a:xfrm>
            <a:off x="751804" y="3052917"/>
            <a:ext cx="94366" cy="99746"/>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52"/>
          <xdr:cNvSpPr>
            <a:spLocks/>
          </xdr:cNvSpPr>
        </xdr:nvSpPr>
        <xdr:spPr>
          <a:xfrm>
            <a:off x="801763" y="2724939"/>
            <a:ext cx="0" cy="342349"/>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4" name="Group 58"/>
          <xdr:cNvGrpSpPr>
            <a:grpSpLocks/>
          </xdr:cNvGrpSpPr>
        </xdr:nvGrpSpPr>
        <xdr:grpSpPr>
          <a:xfrm>
            <a:off x="3942223" y="3309890"/>
            <a:ext cx="312242" cy="322061"/>
            <a:chOff x="3138" y="2808"/>
            <a:chExt cx="198" cy="198"/>
          </a:xfrm>
          <a:solidFill>
            <a:srgbClr val="FFFFFF"/>
          </a:solidFill>
        </xdr:grpSpPr>
        <xdr:sp>
          <xdr:nvSpPr>
            <xdr:cNvPr id="15" name="Oval 59"/>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Line 60"/>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Line 61"/>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8" name="Group 66"/>
          <xdr:cNvGrpSpPr>
            <a:grpSpLocks/>
          </xdr:cNvGrpSpPr>
        </xdr:nvGrpSpPr>
        <xdr:grpSpPr>
          <a:xfrm>
            <a:off x="3502309" y="3309890"/>
            <a:ext cx="316405" cy="322061"/>
            <a:chOff x="3138" y="2808"/>
            <a:chExt cx="198" cy="198"/>
          </a:xfrm>
          <a:solidFill>
            <a:srgbClr val="FFFFFF"/>
          </a:solidFill>
        </xdr:grpSpPr>
        <xdr:sp>
          <xdr:nvSpPr>
            <xdr:cNvPr id="19" name="Oval 67"/>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Line 68"/>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Line 69"/>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22" name="Text Box 78"/>
          <xdr:cNvSpPr txBox="1">
            <a:spLocks noChangeArrowheads="1"/>
          </xdr:cNvSpPr>
        </xdr:nvSpPr>
        <xdr:spPr>
          <a:xfrm>
            <a:off x="2379625" y="2456977"/>
            <a:ext cx="295589" cy="180895"/>
          </a:xfrm>
          <a:prstGeom prst="rect">
            <a:avLst/>
          </a:prstGeom>
          <a:noFill/>
          <a:ln w="9525" cmpd="sng">
            <a:noFill/>
          </a:ln>
        </xdr:spPr>
        <xdr:txBody>
          <a:bodyPr vertOverflow="clip" wrap="square" lIns="18000" tIns="10800" rIns="18000" bIns="10800"/>
          <a:p>
            <a:pPr algn="l">
              <a:defRPr/>
            </a:pPr>
            <a:r>
              <a:rPr lang="en-US" cap="none" sz="1000" b="1" i="0" u="none" baseline="0">
                <a:solidFill>
                  <a:srgbClr val="000000"/>
                </a:solidFill>
              </a:rPr>
              <a:t>Q
</a:t>
            </a:r>
          </a:p>
        </xdr:txBody>
      </xdr:sp>
      <xdr:sp>
        <xdr:nvSpPr>
          <xdr:cNvPr id="23" name="AutoShape 79"/>
          <xdr:cNvSpPr>
            <a:spLocks/>
          </xdr:cNvSpPr>
        </xdr:nvSpPr>
        <xdr:spPr>
          <a:xfrm rot="5400000">
            <a:off x="-628998" y="1956556"/>
            <a:ext cx="1959491" cy="9298"/>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80"/>
          <xdr:cNvSpPr>
            <a:spLocks/>
          </xdr:cNvSpPr>
        </xdr:nvSpPr>
        <xdr:spPr>
          <a:xfrm rot="16200000" flipH="1">
            <a:off x="5042702" y="1050389"/>
            <a:ext cx="8326" cy="1991539"/>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82"/>
          <xdr:cNvSpPr>
            <a:spLocks/>
          </xdr:cNvSpPr>
        </xdr:nvSpPr>
        <xdr:spPr>
          <a:xfrm>
            <a:off x="350747" y="1209306"/>
            <a:ext cx="4687792" cy="2536"/>
          </a:xfrm>
          <a:prstGeom prst="straightConnector1">
            <a:avLst/>
          </a:prstGeom>
          <a:noFill/>
          <a:ln w="317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Straight Connector 19"/>
          <xdr:cNvSpPr>
            <a:spLocks/>
          </xdr:cNvSpPr>
        </xdr:nvSpPr>
        <xdr:spPr>
          <a:xfrm>
            <a:off x="409032" y="3648012"/>
            <a:ext cx="4636445" cy="929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Straight Connector 20"/>
          <xdr:cNvSpPr>
            <a:spLocks/>
          </xdr:cNvSpPr>
        </xdr:nvSpPr>
        <xdr:spPr>
          <a:xfrm rot="16200000" flipH="1">
            <a:off x="399318" y="3105326"/>
            <a:ext cx="9714" cy="923919"/>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Straight Connector 21"/>
          <xdr:cNvSpPr>
            <a:spLocks/>
          </xdr:cNvSpPr>
        </xdr:nvSpPr>
        <xdr:spPr>
          <a:xfrm rot="16200000" flipH="1">
            <a:off x="798988" y="3219442"/>
            <a:ext cx="0" cy="80980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Straight Connector 22"/>
          <xdr:cNvSpPr>
            <a:spLocks/>
          </xdr:cNvSpPr>
        </xdr:nvSpPr>
        <xdr:spPr>
          <a:xfrm rot="5400000">
            <a:off x="4432096" y="3795940"/>
            <a:ext cx="113378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Straight Connector 23"/>
          <xdr:cNvSpPr>
            <a:spLocks/>
          </xdr:cNvSpPr>
        </xdr:nvSpPr>
        <xdr:spPr>
          <a:xfrm rot="16200000" flipH="1">
            <a:off x="3883938" y="4000504"/>
            <a:ext cx="9714" cy="361791"/>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Straight Arrow Connector 24"/>
          <xdr:cNvSpPr>
            <a:spLocks/>
          </xdr:cNvSpPr>
        </xdr:nvSpPr>
        <xdr:spPr>
          <a:xfrm>
            <a:off x="837844" y="3933725"/>
            <a:ext cx="2828218" cy="9298"/>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Straight Arrow Connector 25"/>
          <xdr:cNvSpPr>
            <a:spLocks/>
          </xdr:cNvSpPr>
        </xdr:nvSpPr>
        <xdr:spPr>
          <a:xfrm>
            <a:off x="399318" y="3943024"/>
            <a:ext cx="380241"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Straight Arrow Connector 26"/>
          <xdr:cNvSpPr>
            <a:spLocks/>
          </xdr:cNvSpPr>
        </xdr:nvSpPr>
        <xdr:spPr>
          <a:xfrm>
            <a:off x="3903366" y="4276919"/>
            <a:ext cx="1094928"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Straight Connector 27"/>
          <xdr:cNvSpPr>
            <a:spLocks/>
          </xdr:cNvSpPr>
        </xdr:nvSpPr>
        <xdr:spPr>
          <a:xfrm rot="5400000">
            <a:off x="3498145" y="3843278"/>
            <a:ext cx="352486" cy="0"/>
          </a:xfrm>
          <a:prstGeom prst="line">
            <a:avLst/>
          </a:prstGeom>
          <a:noFill/>
          <a:ln w="317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Straight Connector 28"/>
          <xdr:cNvSpPr>
            <a:spLocks/>
          </xdr:cNvSpPr>
        </xdr:nvSpPr>
        <xdr:spPr>
          <a:xfrm rot="5400000">
            <a:off x="3926958" y="3833979"/>
            <a:ext cx="352486" cy="0"/>
          </a:xfrm>
          <a:prstGeom prst="line">
            <a:avLst/>
          </a:prstGeom>
          <a:noFill/>
          <a:ln w="317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Straight Arrow Connector 30"/>
          <xdr:cNvSpPr>
            <a:spLocks/>
          </xdr:cNvSpPr>
        </xdr:nvSpPr>
        <xdr:spPr>
          <a:xfrm>
            <a:off x="3693817" y="3943024"/>
            <a:ext cx="380241"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Straight Connector 33"/>
          <xdr:cNvSpPr>
            <a:spLocks/>
          </xdr:cNvSpPr>
        </xdr:nvSpPr>
        <xdr:spPr>
          <a:xfrm rot="16200000" flipH="1">
            <a:off x="3104027" y="3200000"/>
            <a:ext cx="76326" cy="22823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Straight Connector 34"/>
          <xdr:cNvSpPr>
            <a:spLocks/>
          </xdr:cNvSpPr>
        </xdr:nvSpPr>
        <xdr:spPr>
          <a:xfrm rot="5400000">
            <a:off x="4545890" y="3290448"/>
            <a:ext cx="238692" cy="57481"/>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Rectangle 39"/>
          <xdr:cNvSpPr>
            <a:spLocks/>
          </xdr:cNvSpPr>
        </xdr:nvSpPr>
        <xdr:spPr>
          <a:xfrm>
            <a:off x="352135" y="2933729"/>
            <a:ext cx="47183" cy="66779"/>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Rectangle 40"/>
          <xdr:cNvSpPr>
            <a:spLocks/>
          </xdr:cNvSpPr>
        </xdr:nvSpPr>
        <xdr:spPr>
          <a:xfrm>
            <a:off x="4998294" y="3019105"/>
            <a:ext cx="47183" cy="76077"/>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Straight Connector 45"/>
          <xdr:cNvSpPr>
            <a:spLocks/>
          </xdr:cNvSpPr>
        </xdr:nvSpPr>
        <xdr:spPr>
          <a:xfrm rot="16200000" flipH="1">
            <a:off x="342421" y="3019105"/>
            <a:ext cx="9714" cy="1009294"/>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Straight Arrow Connector 46"/>
          <xdr:cNvSpPr>
            <a:spLocks/>
          </xdr:cNvSpPr>
        </xdr:nvSpPr>
        <xdr:spPr>
          <a:xfrm flipV="1">
            <a:off x="66260" y="3943024"/>
            <a:ext cx="285875" cy="929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Straight Connector 47"/>
          <xdr:cNvSpPr>
            <a:spLocks/>
          </xdr:cNvSpPr>
        </xdr:nvSpPr>
        <xdr:spPr>
          <a:xfrm rot="5400000">
            <a:off x="4493156" y="3571935"/>
            <a:ext cx="1124071"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Straight Arrow Connector 48"/>
          <xdr:cNvSpPr>
            <a:spLocks/>
          </xdr:cNvSpPr>
        </xdr:nvSpPr>
        <xdr:spPr>
          <a:xfrm>
            <a:off x="5045477" y="3952322"/>
            <a:ext cx="238692" cy="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Straight Connector 49"/>
          <xdr:cNvSpPr>
            <a:spLocks/>
          </xdr:cNvSpPr>
        </xdr:nvSpPr>
        <xdr:spPr>
          <a:xfrm>
            <a:off x="322992" y="3943024"/>
            <a:ext cx="957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Straight Connector 50"/>
          <xdr:cNvSpPr>
            <a:spLocks/>
          </xdr:cNvSpPr>
        </xdr:nvSpPr>
        <xdr:spPr>
          <a:xfrm>
            <a:off x="4978866" y="3952322"/>
            <a:ext cx="957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Straight Arrow Connector 51"/>
          <xdr:cNvSpPr>
            <a:spLocks/>
          </xdr:cNvSpPr>
        </xdr:nvSpPr>
        <xdr:spPr>
          <a:xfrm>
            <a:off x="4759603" y="3952322"/>
            <a:ext cx="238692"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inh%20toan%20Khoi%20luong%20CPTGGT%20v%203.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ính KL CPTGGT - SMRM"/>
      <sheetName val="Tính KL CPTGGT - OTO"/>
      <sheetName val="Tính OS"/>
      <sheetName val="Data SMRM"/>
      <sheetName val="Data OTO"/>
      <sheetName val="Hướng dẫn kích hoạt Macro"/>
      <sheetName val="Tinh toan Khoi luong CPTGGT v 3"/>
    </sheetNames>
    <definedNames>
      <definedName name="In_ket_qua_SMRM"/>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41"/>
  <sheetViews>
    <sheetView tabSelected="1" workbookViewId="0" topLeftCell="A4">
      <selection activeCell="F9" sqref="F9"/>
    </sheetView>
  </sheetViews>
  <sheetFormatPr defaultColWidth="0" defaultRowHeight="12.75" zeroHeight="1"/>
  <cols>
    <col min="1" max="1" width="16.140625" style="0" customWidth="1"/>
    <col min="2" max="2" width="9.140625" style="0" customWidth="1"/>
    <col min="3" max="3" width="11.140625" style="0" customWidth="1"/>
    <col min="4" max="4" width="10.421875" style="0" customWidth="1"/>
    <col min="5" max="5" width="11.421875" style="0" customWidth="1"/>
    <col min="6" max="6" width="13.7109375" style="0" customWidth="1"/>
    <col min="7" max="7" width="13.28125" style="0" customWidth="1"/>
    <col min="8" max="8" width="10.57421875" style="0" customWidth="1"/>
    <col min="9" max="9" width="10.7109375" style="0" customWidth="1"/>
    <col min="10" max="10" width="11.57421875" style="0" customWidth="1"/>
    <col min="11" max="11" width="12.421875" style="0" customWidth="1"/>
    <col min="12" max="12" width="13.28125" style="0" customWidth="1"/>
    <col min="13" max="13" width="7.7109375" style="0" customWidth="1"/>
    <col min="14" max="14" width="6.8515625" style="0" customWidth="1"/>
    <col min="15" max="15" width="3.140625" style="0" customWidth="1"/>
    <col min="16" max="24" width="9.140625" style="0" customWidth="1"/>
    <col min="25" max="16384" width="0" style="0" hidden="1" customWidth="1"/>
  </cols>
  <sheetData>
    <row r="1" spans="1:14" ht="18.75" customHeight="1" thickBot="1">
      <c r="A1" s="377"/>
      <c r="B1" s="377"/>
      <c r="C1" s="377"/>
      <c r="D1" s="377"/>
      <c r="E1" s="377"/>
      <c r="F1" s="377"/>
      <c r="G1" s="377"/>
      <c r="H1" s="377"/>
      <c r="I1" s="377"/>
      <c r="J1" s="377"/>
      <c r="K1" s="377"/>
      <c r="L1" s="377"/>
      <c r="M1" s="262"/>
      <c r="N1" s="262"/>
    </row>
    <row r="2" spans="1:23" s="1" customFormat="1" ht="29.25" customHeight="1">
      <c r="A2" s="378" t="s">
        <v>170</v>
      </c>
      <c r="B2" s="379"/>
      <c r="C2" s="379"/>
      <c r="D2" s="379"/>
      <c r="E2" s="379"/>
      <c r="F2" s="379"/>
      <c r="G2" s="379"/>
      <c r="H2" s="379"/>
      <c r="I2" s="379"/>
      <c r="J2" s="379"/>
      <c r="K2" s="379"/>
      <c r="L2" s="380"/>
      <c r="M2" s="278"/>
      <c r="N2" s="278"/>
      <c r="O2"/>
      <c r="P2" s="341" t="s">
        <v>138</v>
      </c>
      <c r="Q2" s="341"/>
      <c r="R2" s="341"/>
      <c r="S2" s="341"/>
      <c r="T2" s="341"/>
      <c r="U2" s="341"/>
      <c r="V2" s="341"/>
      <c r="W2" s="341"/>
    </row>
    <row r="3" spans="1:23" s="1" customFormat="1" ht="16.5">
      <c r="A3" s="381" t="s">
        <v>28</v>
      </c>
      <c r="B3" s="382"/>
      <c r="C3" s="382"/>
      <c r="D3" s="382"/>
      <c r="E3" s="382"/>
      <c r="F3" s="382"/>
      <c r="G3" s="388" t="s">
        <v>140</v>
      </c>
      <c r="H3" s="388"/>
      <c r="I3" s="388"/>
      <c r="J3" s="388"/>
      <c r="K3" s="388"/>
      <c r="L3" s="389"/>
      <c r="M3" s="279"/>
      <c r="N3" s="279"/>
      <c r="O3"/>
      <c r="P3" s="342"/>
      <c r="Q3" s="342"/>
      <c r="R3" s="342"/>
      <c r="S3" s="342"/>
      <c r="T3" s="342"/>
      <c r="U3" s="342"/>
      <c r="V3" s="342"/>
      <c r="W3" s="342"/>
    </row>
    <row r="4" spans="1:23" s="1" customFormat="1" ht="18" customHeight="1" thickBot="1">
      <c r="A4" s="302"/>
      <c r="B4" s="303"/>
      <c r="C4" s="246"/>
      <c r="D4" s="246" t="s">
        <v>151</v>
      </c>
      <c r="E4" s="306" t="s">
        <v>152</v>
      </c>
      <c r="F4" s="307"/>
      <c r="G4" s="247" t="s">
        <v>26</v>
      </c>
      <c r="H4" s="304" t="s">
        <v>27</v>
      </c>
      <c r="I4" s="304"/>
      <c r="J4" s="304"/>
      <c r="K4" s="304"/>
      <c r="L4" s="305"/>
      <c r="M4" s="280"/>
      <c r="N4" s="280"/>
      <c r="O4"/>
      <c r="P4" s="342"/>
      <c r="Q4" s="342"/>
      <c r="R4" s="342"/>
      <c r="S4" s="342"/>
      <c r="T4" s="342"/>
      <c r="U4" s="342"/>
      <c r="V4" s="342"/>
      <c r="W4" s="342"/>
    </row>
    <row r="5" spans="1:23" ht="15.75" customHeight="1" thickBot="1">
      <c r="A5" s="308" t="s">
        <v>188</v>
      </c>
      <c r="B5" s="308"/>
      <c r="C5" s="308"/>
      <c r="D5" s="308"/>
      <c r="E5" s="308"/>
      <c r="F5" s="308"/>
      <c r="G5" s="308"/>
      <c r="H5" s="308"/>
      <c r="I5" s="308"/>
      <c r="J5" s="308"/>
      <c r="K5" s="308"/>
      <c r="L5" s="308"/>
      <c r="M5" s="258"/>
      <c r="N5" s="258"/>
      <c r="P5" s="342"/>
      <c r="Q5" s="342"/>
      <c r="R5" s="342"/>
      <c r="S5" s="342"/>
      <c r="T5" s="342"/>
      <c r="U5" s="342"/>
      <c r="V5" s="342"/>
      <c r="W5" s="342"/>
    </row>
    <row r="6" spans="1:23" ht="30.75" customHeight="1">
      <c r="A6" s="296" t="s">
        <v>165</v>
      </c>
      <c r="B6" s="297"/>
      <c r="C6" s="297"/>
      <c r="D6" s="297"/>
      <c r="E6" s="297"/>
      <c r="F6" s="297"/>
      <c r="G6" s="297"/>
      <c r="H6" s="297"/>
      <c r="I6" s="297"/>
      <c r="J6" s="297"/>
      <c r="K6" s="297"/>
      <c r="L6" s="297"/>
      <c r="M6" s="297"/>
      <c r="N6" s="298"/>
      <c r="P6" s="342"/>
      <c r="Q6" s="342"/>
      <c r="R6" s="342"/>
      <c r="S6" s="342"/>
      <c r="T6" s="342"/>
      <c r="U6" s="342"/>
      <c r="V6" s="342"/>
      <c r="W6" s="342"/>
    </row>
    <row r="7" spans="1:23" ht="69.75" customHeight="1">
      <c r="A7" s="309" t="s">
        <v>6</v>
      </c>
      <c r="B7" s="289" t="s">
        <v>2</v>
      </c>
      <c r="C7" s="351" t="s">
        <v>189</v>
      </c>
      <c r="D7" s="352"/>
      <c r="E7" s="352"/>
      <c r="F7" s="353"/>
      <c r="G7" s="338" t="s">
        <v>156</v>
      </c>
      <c r="H7" s="358" t="s">
        <v>136</v>
      </c>
      <c r="I7" s="358"/>
      <c r="J7" s="294" t="s">
        <v>176</v>
      </c>
      <c r="K7" s="294"/>
      <c r="L7" s="344"/>
      <c r="M7" s="344" t="s">
        <v>183</v>
      </c>
      <c r="N7" s="345"/>
      <c r="P7" s="342"/>
      <c r="Q7" s="342"/>
      <c r="R7" s="342"/>
      <c r="S7" s="342"/>
      <c r="T7" s="342"/>
      <c r="U7" s="342"/>
      <c r="V7" s="342"/>
      <c r="W7" s="342"/>
    </row>
    <row r="8" spans="1:23" ht="92.25" customHeight="1">
      <c r="A8" s="309"/>
      <c r="B8" s="289"/>
      <c r="C8" s="4" t="s">
        <v>155</v>
      </c>
      <c r="D8" s="4" t="s">
        <v>12</v>
      </c>
      <c r="E8" s="4" t="s">
        <v>187</v>
      </c>
      <c r="F8" s="4" t="s">
        <v>186</v>
      </c>
      <c r="G8" s="338"/>
      <c r="H8" s="2" t="s">
        <v>7</v>
      </c>
      <c r="I8" s="2" t="s">
        <v>8</v>
      </c>
      <c r="J8" s="3" t="s">
        <v>9</v>
      </c>
      <c r="K8" s="3" t="s">
        <v>10</v>
      </c>
      <c r="L8" s="281" t="s">
        <v>11</v>
      </c>
      <c r="M8" s="3" t="s">
        <v>184</v>
      </c>
      <c r="N8" s="232" t="s">
        <v>185</v>
      </c>
      <c r="O8" s="240"/>
      <c r="P8" s="342"/>
      <c r="Q8" s="342"/>
      <c r="R8" s="342"/>
      <c r="S8" s="342"/>
      <c r="T8" s="342"/>
      <c r="U8" s="342"/>
      <c r="V8" s="342"/>
      <c r="W8" s="342"/>
    </row>
    <row r="9" spans="1:23" ht="35.25" customHeight="1" thickBot="1">
      <c r="A9" s="233" t="s">
        <v>190</v>
      </c>
      <c r="B9" s="234">
        <v>2</v>
      </c>
      <c r="C9" s="234">
        <v>10075</v>
      </c>
      <c r="D9" s="234">
        <v>4790</v>
      </c>
      <c r="E9" s="234">
        <v>900</v>
      </c>
      <c r="F9" s="234">
        <v>12400</v>
      </c>
      <c r="G9" s="234">
        <v>33560</v>
      </c>
      <c r="H9" s="234">
        <v>1030</v>
      </c>
      <c r="I9" s="234">
        <v>2530</v>
      </c>
      <c r="J9" s="235">
        <v>500</v>
      </c>
      <c r="K9" s="235">
        <v>160</v>
      </c>
      <c r="L9" s="282">
        <v>400</v>
      </c>
      <c r="M9" s="284">
        <v>150</v>
      </c>
      <c r="N9" s="285">
        <v>150</v>
      </c>
      <c r="O9" s="239"/>
      <c r="P9" s="342"/>
      <c r="Q9" s="342"/>
      <c r="R9" s="342"/>
      <c r="S9" s="342"/>
      <c r="T9" s="342"/>
      <c r="U9" s="342"/>
      <c r="V9" s="342"/>
      <c r="W9" s="342"/>
    </row>
    <row r="10" spans="1:23" ht="15" customHeight="1">
      <c r="A10" s="354" t="s">
        <v>29</v>
      </c>
      <c r="B10" s="354"/>
      <c r="C10" s="354"/>
      <c r="D10" s="354"/>
      <c r="E10" s="354"/>
      <c r="F10" s="354"/>
      <c r="G10" s="354"/>
      <c r="H10" s="354"/>
      <c r="I10" s="354"/>
      <c r="J10" s="354"/>
      <c r="K10" s="354"/>
      <c r="L10" s="354"/>
      <c r="M10" s="264"/>
      <c r="N10" s="264"/>
      <c r="P10" s="342"/>
      <c r="Q10" s="342"/>
      <c r="R10" s="342"/>
      <c r="S10" s="342"/>
      <c r="T10" s="342"/>
      <c r="U10" s="342"/>
      <c r="V10" s="342"/>
      <c r="W10" s="342"/>
    </row>
    <row r="11" spans="1:14" ht="24" customHeight="1" thickBot="1">
      <c r="A11" s="310" t="s">
        <v>166</v>
      </c>
      <c r="B11" s="311"/>
      <c r="C11" s="311"/>
      <c r="D11" s="311"/>
      <c r="E11" s="311"/>
      <c r="F11" s="312"/>
      <c r="G11" s="311"/>
      <c r="H11" s="311"/>
      <c r="I11" s="311"/>
      <c r="J11" s="311"/>
      <c r="K11" s="311"/>
      <c r="L11" s="313"/>
      <c r="M11" s="267"/>
      <c r="N11" s="267"/>
    </row>
    <row r="12" spans="1:23" s="5" customFormat="1" ht="21.75" customHeight="1">
      <c r="A12" s="318" t="s">
        <v>131</v>
      </c>
      <c r="B12" s="318"/>
      <c r="C12" s="318"/>
      <c r="D12" s="318"/>
      <c r="E12" s="319"/>
      <c r="F12" s="230">
        <v>10075</v>
      </c>
      <c r="G12" s="229" t="s">
        <v>174</v>
      </c>
      <c r="H12" s="323" t="s">
        <v>150</v>
      </c>
      <c r="I12" s="324"/>
      <c r="J12" s="324"/>
      <c r="K12" s="324"/>
      <c r="L12" s="325"/>
      <c r="M12" s="268"/>
      <c r="N12" s="268"/>
      <c r="P12" s="341" t="s">
        <v>139</v>
      </c>
      <c r="Q12" s="341"/>
      <c r="R12" s="341"/>
      <c r="S12" s="341"/>
      <c r="T12" s="341"/>
      <c r="U12" s="341"/>
      <c r="V12" s="341"/>
      <c r="W12" s="341"/>
    </row>
    <row r="13" spans="1:23" s="5" customFormat="1" ht="21.75" customHeight="1" thickBot="1">
      <c r="A13" s="318" t="s">
        <v>132</v>
      </c>
      <c r="B13" s="318"/>
      <c r="C13" s="318"/>
      <c r="D13" s="318"/>
      <c r="E13" s="319"/>
      <c r="F13" s="231">
        <v>900</v>
      </c>
      <c r="G13" s="229" t="s">
        <v>175</v>
      </c>
      <c r="H13" s="326"/>
      <c r="I13" s="327"/>
      <c r="J13" s="327"/>
      <c r="K13" s="327"/>
      <c r="L13" s="328"/>
      <c r="M13" s="268"/>
      <c r="N13" s="268"/>
      <c r="P13" s="343"/>
      <c r="Q13" s="343"/>
      <c r="R13" s="343"/>
      <c r="S13" s="343"/>
      <c r="T13" s="343"/>
      <c r="U13" s="343"/>
      <c r="V13" s="343"/>
      <c r="W13" s="343"/>
    </row>
    <row r="14" spans="1:23" s="5" customFormat="1" ht="21.75" customHeight="1" thickBot="1">
      <c r="A14" s="390" t="s">
        <v>180</v>
      </c>
      <c r="B14" s="391"/>
      <c r="C14" s="391"/>
      <c r="D14" s="391"/>
      <c r="E14" s="391"/>
      <c r="F14" s="255">
        <v>1310</v>
      </c>
      <c r="G14" s="229" t="s">
        <v>181</v>
      </c>
      <c r="H14" s="339" t="s">
        <v>182</v>
      </c>
      <c r="I14" s="340"/>
      <c r="J14" s="340"/>
      <c r="K14" s="340"/>
      <c r="L14" s="340"/>
      <c r="M14" s="269"/>
      <c r="N14" s="269"/>
      <c r="P14" s="343"/>
      <c r="Q14" s="343"/>
      <c r="R14" s="343"/>
      <c r="S14" s="343"/>
      <c r="T14" s="343"/>
      <c r="U14" s="343"/>
      <c r="V14" s="343"/>
      <c r="W14" s="343"/>
    </row>
    <row r="15" spans="1:23" s="5" customFormat="1" ht="30" customHeight="1" thickBot="1">
      <c r="A15" s="392" t="str">
        <f>IF(G29&lt;900,"* Chú ý: khoảng cách từ trục sau cùng tới đuôi xe quá ngắn (ROHđ) &lt; 900mm, đề nghị giảm chiều dài cơ sở","OK")</f>
        <v>* Chú ý: khoảng cách từ trục sau cùng tới đuôi xe quá ngắn (ROHđ) &lt; 900mm, đề nghị giảm chiều dài cơ sở</v>
      </c>
      <c r="B15" s="392"/>
      <c r="C15" s="392"/>
      <c r="D15" s="392"/>
      <c r="E15" s="392"/>
      <c r="F15" s="392"/>
      <c r="G15" s="392"/>
      <c r="H15" s="393" t="str">
        <f>IF((F29-((F14/2)*(B9-1)))&gt;I39,"* Chú ý: Chiều dài đuôi xe ROH &gt; 60% chiều dài cơ sở","OK")</f>
        <v>OK</v>
      </c>
      <c r="I15" s="393"/>
      <c r="J15" s="393"/>
      <c r="K15" s="393"/>
      <c r="L15" s="393"/>
      <c r="M15" s="265"/>
      <c r="N15" s="265"/>
      <c r="P15" s="343"/>
      <c r="Q15" s="343"/>
      <c r="R15" s="343"/>
      <c r="S15" s="343"/>
      <c r="T15" s="343"/>
      <c r="U15" s="343"/>
      <c r="V15" s="343"/>
      <c r="W15" s="343"/>
    </row>
    <row r="16" spans="1:23" s="5" customFormat="1" ht="45.75" customHeight="1">
      <c r="A16" s="292" t="s">
        <v>167</v>
      </c>
      <c r="B16" s="293"/>
      <c r="C16" s="293"/>
      <c r="D16" s="293"/>
      <c r="E16" s="293"/>
      <c r="F16" s="293"/>
      <c r="G16" s="293"/>
      <c r="H16" s="399" t="s">
        <v>162</v>
      </c>
      <c r="I16" s="400"/>
      <c r="J16" s="400"/>
      <c r="K16" s="400"/>
      <c r="L16" s="401"/>
      <c r="M16" s="266"/>
      <c r="N16" s="266"/>
      <c r="P16" s="343"/>
      <c r="Q16" s="343"/>
      <c r="R16" s="343"/>
      <c r="S16" s="343"/>
      <c r="T16" s="343"/>
      <c r="U16" s="343"/>
      <c r="V16" s="343"/>
      <c r="W16" s="343"/>
    </row>
    <row r="17" spans="1:23" s="5" customFormat="1" ht="21.75" customHeight="1">
      <c r="A17" s="346" t="s">
        <v>3</v>
      </c>
      <c r="B17" s="347"/>
      <c r="C17" s="347"/>
      <c r="D17" s="347"/>
      <c r="E17" s="347"/>
      <c r="F17" s="205">
        <f>H9+I9</f>
        <v>3560</v>
      </c>
      <c r="G17" s="243" t="s">
        <v>1</v>
      </c>
      <c r="H17" s="402" t="str">
        <f>A15</f>
        <v>* Chú ý: khoảng cách từ trục sau cùng tới đuôi xe quá ngắn (ROHđ) &lt; 900mm, đề nghị giảm chiều dài cơ sở</v>
      </c>
      <c r="I17" s="403"/>
      <c r="J17" s="403"/>
      <c r="K17" s="403"/>
      <c r="L17" s="404"/>
      <c r="M17" s="259"/>
      <c r="N17" s="259"/>
      <c r="P17" s="343"/>
      <c r="Q17" s="343"/>
      <c r="R17" s="343"/>
      <c r="S17" s="343"/>
      <c r="T17" s="343"/>
      <c r="U17" s="343"/>
      <c r="V17" s="343"/>
      <c r="W17" s="343"/>
    </row>
    <row r="18" spans="1:23" s="5" customFormat="1" ht="21.75" customHeight="1">
      <c r="A18" s="336" t="s">
        <v>4</v>
      </c>
      <c r="B18" s="337"/>
      <c r="C18" s="337"/>
      <c r="D18" s="337"/>
      <c r="E18" s="337"/>
      <c r="F18" s="206">
        <f>F21-F17</f>
        <v>30000</v>
      </c>
      <c r="G18" s="244" t="s">
        <v>1</v>
      </c>
      <c r="H18" s="299" t="str">
        <f>H15</f>
        <v>OK</v>
      </c>
      <c r="I18" s="300"/>
      <c r="J18" s="300"/>
      <c r="K18" s="300"/>
      <c r="L18" s="301"/>
      <c r="M18" s="259"/>
      <c r="N18" s="259"/>
      <c r="P18" s="343"/>
      <c r="Q18" s="343"/>
      <c r="R18" s="343"/>
      <c r="S18" s="343"/>
      <c r="T18" s="343"/>
      <c r="U18" s="343"/>
      <c r="V18" s="343"/>
      <c r="W18" s="343"/>
    </row>
    <row r="19" spans="1:23" s="5" customFormat="1" ht="21.75" customHeight="1">
      <c r="A19" s="346" t="s">
        <v>158</v>
      </c>
      <c r="B19" s="347"/>
      <c r="C19" s="347"/>
      <c r="D19" s="347"/>
      <c r="E19" s="347"/>
      <c r="F19" s="205">
        <f>((I37-(I29))*C29/(C29-D29))</f>
        <v>29491.059602649006</v>
      </c>
      <c r="G19" s="243" t="s">
        <v>1</v>
      </c>
      <c r="H19" s="355" t="str">
        <f>IF((I37-(I29))*C29/(C29-D29)&lt;30480,"* Chú ý: Khối lượng hàng chuyên chở CPTGGT không chở được container tiêu chuẩn 30480 kg"," OK")</f>
        <v>* Chú ý: Khối lượng hàng chuyên chở CPTGGT không chở được container tiêu chuẩn 30480 kg</v>
      </c>
      <c r="I19" s="356"/>
      <c r="J19" s="356"/>
      <c r="K19" s="356"/>
      <c r="L19" s="357"/>
      <c r="M19" s="270"/>
      <c r="N19" s="270"/>
      <c r="P19" s="343"/>
      <c r="Q19" s="343"/>
      <c r="R19" s="343"/>
      <c r="S19" s="343"/>
      <c r="T19" s="343"/>
      <c r="U19" s="343"/>
      <c r="V19" s="343"/>
      <c r="W19" s="343"/>
    </row>
    <row r="20" spans="1:23" s="5" customFormat="1" ht="21.75" customHeight="1">
      <c r="A20" s="394" t="s">
        <v>157</v>
      </c>
      <c r="B20" s="395"/>
      <c r="C20" s="395"/>
      <c r="D20" s="395"/>
      <c r="E20" s="395"/>
      <c r="F20" s="238">
        <f>'Tính toán Kiểm tra chi tiết'!C17</f>
        <v>29490</v>
      </c>
      <c r="G20" s="243" t="s">
        <v>1</v>
      </c>
      <c r="H20" s="396" t="s">
        <v>161</v>
      </c>
      <c r="I20" s="397"/>
      <c r="J20" s="397"/>
      <c r="K20" s="397"/>
      <c r="L20" s="398"/>
      <c r="M20" s="275"/>
      <c r="N20" s="275"/>
      <c r="O20" s="241"/>
      <c r="P20" s="343"/>
      <c r="Q20" s="343"/>
      <c r="R20" s="343"/>
      <c r="S20" s="343"/>
      <c r="T20" s="343"/>
      <c r="U20" s="343"/>
      <c r="V20" s="343"/>
      <c r="W20" s="343"/>
    </row>
    <row r="21" spans="1:23" s="5" customFormat="1" ht="21.75" customHeight="1">
      <c r="A21" s="336" t="s">
        <v>5</v>
      </c>
      <c r="B21" s="337"/>
      <c r="C21" s="337"/>
      <c r="D21" s="337"/>
      <c r="E21" s="337"/>
      <c r="F21" s="206">
        <f>G9</f>
        <v>33560</v>
      </c>
      <c r="G21" s="244" t="s">
        <v>1</v>
      </c>
      <c r="H21" s="405" t="str">
        <f>IF(B9&gt;2,IF(F14&lt;1310,"Không đạt yêu cầu: - Khoảng cách d &gt;= 1310mm","OK"),"OK")</f>
        <v>OK</v>
      </c>
      <c r="I21" s="406"/>
      <c r="J21" s="406"/>
      <c r="K21" s="406"/>
      <c r="L21" s="407"/>
      <c r="M21" s="271"/>
      <c r="N21" s="271"/>
      <c r="P21" s="343"/>
      <c r="Q21" s="343"/>
      <c r="R21" s="343"/>
      <c r="S21" s="343"/>
      <c r="T21" s="343"/>
      <c r="U21" s="343"/>
      <c r="V21" s="343"/>
      <c r="W21" s="343"/>
    </row>
    <row r="22" spans="1:23" s="5" customFormat="1" ht="21.75" customHeight="1">
      <c r="A22" s="346" t="s">
        <v>159</v>
      </c>
      <c r="B22" s="347"/>
      <c r="C22" s="347"/>
      <c r="D22" s="347"/>
      <c r="E22" s="347"/>
      <c r="F22" s="205">
        <f>F19+F17</f>
        <v>33051.05960264901</v>
      </c>
      <c r="G22" s="243" t="s">
        <v>1</v>
      </c>
      <c r="H22" s="320">
        <f>'Tính toán Kiểm tra chi tiết'!A11</f>
      </c>
      <c r="I22" s="321"/>
      <c r="J22" s="321"/>
      <c r="K22" s="321"/>
      <c r="L22" s="322"/>
      <c r="M22" s="272"/>
      <c r="N22" s="272"/>
      <c r="P22" s="343"/>
      <c r="Q22" s="343"/>
      <c r="R22" s="343"/>
      <c r="S22" s="343"/>
      <c r="T22" s="343"/>
      <c r="U22" s="343"/>
      <c r="V22" s="343"/>
      <c r="W22" s="343"/>
    </row>
    <row r="23" spans="1:23" s="5" customFormat="1" ht="21.75" customHeight="1">
      <c r="A23" s="334" t="s">
        <v>22</v>
      </c>
      <c r="B23" s="335"/>
      <c r="C23" s="335"/>
      <c r="D23" s="335"/>
      <c r="E23" s="335"/>
      <c r="F23" s="242">
        <f>F22-F24</f>
        <v>15051.05960264901</v>
      </c>
      <c r="G23" s="243" t="s">
        <v>1</v>
      </c>
      <c r="H23" s="385" t="str">
        <f>IF((F23)&gt;'Tính toán Kiểm tra chi tiết'!G10,"* Chú ý: giá trị KL toàn bộ của SMRM phân bố lên chốt kéo lớn hơn Khối lương hàng chuyên chở CPTGGT của đầu kéo mẫu","Kết quả phù hợp với đầu kéo mẫu")</f>
        <v>Kết quả phù hợp với đầu kéo mẫu</v>
      </c>
      <c r="I23" s="386"/>
      <c r="J23" s="386"/>
      <c r="K23" s="386"/>
      <c r="L23" s="387"/>
      <c r="M23" s="273"/>
      <c r="N23" s="273"/>
      <c r="P23" s="316" t="s">
        <v>141</v>
      </c>
      <c r="Q23" s="317"/>
      <c r="R23" s="317"/>
      <c r="S23" s="317"/>
      <c r="T23" s="317"/>
      <c r="U23" s="317"/>
      <c r="V23" s="317"/>
      <c r="W23" s="317"/>
    </row>
    <row r="24" spans="1:23" s="5" customFormat="1" ht="21.75" customHeight="1" thickBot="1">
      <c r="A24" s="290" t="s">
        <v>23</v>
      </c>
      <c r="B24" s="291"/>
      <c r="C24" s="291"/>
      <c r="D24" s="291"/>
      <c r="E24" s="291"/>
      <c r="F24" s="228">
        <f>I37</f>
        <v>18000</v>
      </c>
      <c r="G24" s="245" t="s">
        <v>1</v>
      </c>
      <c r="H24" s="408" t="s">
        <v>160</v>
      </c>
      <c r="I24" s="409"/>
      <c r="J24" s="409"/>
      <c r="K24" s="409"/>
      <c r="L24" s="410"/>
      <c r="M24" s="274"/>
      <c r="N24" s="274"/>
      <c r="P24" s="317"/>
      <c r="Q24" s="317"/>
      <c r="R24" s="317"/>
      <c r="S24" s="317"/>
      <c r="T24" s="317"/>
      <c r="U24" s="317"/>
      <c r="V24" s="317"/>
      <c r="W24" s="317"/>
    </row>
    <row r="25" spans="16:23" ht="18" customHeight="1" thickBot="1">
      <c r="P25" s="317"/>
      <c r="Q25" s="317"/>
      <c r="R25" s="317"/>
      <c r="S25" s="317"/>
      <c r="T25" s="317"/>
      <c r="U25" s="317"/>
      <c r="V25" s="317"/>
      <c r="W25" s="317"/>
    </row>
    <row r="26" spans="1:23" ht="30.75" customHeight="1">
      <c r="A26" s="296" t="s">
        <v>168</v>
      </c>
      <c r="B26" s="297"/>
      <c r="C26" s="297"/>
      <c r="D26" s="297"/>
      <c r="E26" s="297"/>
      <c r="F26" s="297"/>
      <c r="G26" s="297"/>
      <c r="H26" s="297"/>
      <c r="I26" s="297"/>
      <c r="J26" s="297"/>
      <c r="K26" s="297"/>
      <c r="L26" s="297"/>
      <c r="M26" s="297"/>
      <c r="N26" s="298"/>
      <c r="P26" s="317"/>
      <c r="Q26" s="317"/>
      <c r="R26" s="317"/>
      <c r="S26" s="317"/>
      <c r="T26" s="317"/>
      <c r="U26" s="317"/>
      <c r="V26" s="317"/>
      <c r="W26" s="317"/>
    </row>
    <row r="27" spans="1:23" ht="47.25" customHeight="1">
      <c r="A27" s="309" t="s">
        <v>6</v>
      </c>
      <c r="B27" s="289" t="s">
        <v>2</v>
      </c>
      <c r="C27" s="351" t="s">
        <v>16</v>
      </c>
      <c r="D27" s="352"/>
      <c r="E27" s="352"/>
      <c r="F27" s="353"/>
      <c r="G27" s="338" t="s">
        <v>173</v>
      </c>
      <c r="H27" s="358" t="s">
        <v>143</v>
      </c>
      <c r="I27" s="358"/>
      <c r="J27" s="294" t="s">
        <v>17</v>
      </c>
      <c r="K27" s="294"/>
      <c r="L27" s="294"/>
      <c r="M27" s="294" t="s">
        <v>183</v>
      </c>
      <c r="N27" s="295"/>
      <c r="P27" s="317"/>
      <c r="Q27" s="317"/>
      <c r="R27" s="317"/>
      <c r="S27" s="317"/>
      <c r="T27" s="317"/>
      <c r="U27" s="317"/>
      <c r="V27" s="317"/>
      <c r="W27" s="317"/>
    </row>
    <row r="28" spans="1:14" ht="87.75" customHeight="1">
      <c r="A28" s="309"/>
      <c r="B28" s="289"/>
      <c r="C28" s="4" t="s">
        <v>13</v>
      </c>
      <c r="D28" s="4" t="s">
        <v>12</v>
      </c>
      <c r="E28" s="4" t="s">
        <v>187</v>
      </c>
      <c r="F28" s="4" t="s">
        <v>18</v>
      </c>
      <c r="G28" s="338"/>
      <c r="H28" s="2" t="s">
        <v>7</v>
      </c>
      <c r="I28" s="2" t="s">
        <v>8</v>
      </c>
      <c r="J28" s="3" t="s">
        <v>14</v>
      </c>
      <c r="K28" s="3" t="s">
        <v>15</v>
      </c>
      <c r="L28" s="3" t="s">
        <v>11</v>
      </c>
      <c r="M28" s="3" t="s">
        <v>184</v>
      </c>
      <c r="N28" s="232" t="s">
        <v>185</v>
      </c>
    </row>
    <row r="29" spans="1:14" ht="17.25" customHeight="1">
      <c r="A29" s="236" t="str">
        <f>A9</f>
        <v>ABC</v>
      </c>
      <c r="B29" s="6">
        <f>B9</f>
        <v>2</v>
      </c>
      <c r="C29" s="6">
        <f>F12</f>
        <v>10075</v>
      </c>
      <c r="D29" s="7">
        <f>F12+F13-I33</f>
        <v>4790</v>
      </c>
      <c r="E29" s="6">
        <f>F13</f>
        <v>900</v>
      </c>
      <c r="F29" s="6">
        <f>F9-E29-C29</f>
        <v>1425</v>
      </c>
      <c r="G29" s="253">
        <f>F29-(B29-1)*(F14/2)</f>
        <v>770</v>
      </c>
      <c r="H29" s="8">
        <f>F17-I29</f>
        <v>1030</v>
      </c>
      <c r="I29" s="8">
        <f>(I34*(C29-I35)/C29)+L30</f>
        <v>2530</v>
      </c>
      <c r="J29" s="9">
        <f>J9*B9</f>
        <v>1000</v>
      </c>
      <c r="K29" s="9">
        <f>K9*B9</f>
        <v>320</v>
      </c>
      <c r="L29" s="237">
        <f>L9*B9</f>
        <v>800</v>
      </c>
      <c r="M29" s="237">
        <v>100</v>
      </c>
      <c r="N29" s="237">
        <v>100</v>
      </c>
    </row>
    <row r="30" spans="1:14" s="5" customFormat="1" ht="20.25" customHeight="1" thickBot="1">
      <c r="A30" s="332" t="s">
        <v>135</v>
      </c>
      <c r="B30" s="333"/>
      <c r="C30" s="248" t="str">
        <f>CONCATENATE(I38," + ",J38,IF(B29=3,(" + "),""),K38)</f>
        <v>9420 + 1310</v>
      </c>
      <c r="D30" s="248"/>
      <c r="E30" s="329"/>
      <c r="F30" s="330"/>
      <c r="G30" s="331"/>
      <c r="H30" s="263" t="s">
        <v>37</v>
      </c>
      <c r="I30" s="249">
        <f>SUM(H29:I29)</f>
        <v>3560</v>
      </c>
      <c r="J30" s="383" t="s">
        <v>154</v>
      </c>
      <c r="K30" s="384"/>
      <c r="L30" s="283">
        <f>SUM(J29:L29)</f>
        <v>2120</v>
      </c>
      <c r="M30" s="314"/>
      <c r="N30" s="315"/>
    </row>
    <row r="31" s="5" customFormat="1" ht="18" customHeight="1">
      <c r="I31" s="10"/>
    </row>
    <row r="32" spans="1:14" s="5" customFormat="1" ht="22.5" customHeight="1">
      <c r="A32" s="359" t="s">
        <v>134</v>
      </c>
      <c r="B32" s="360"/>
      <c r="C32" s="360"/>
      <c r="D32" s="360"/>
      <c r="E32" s="360"/>
      <c r="F32" s="360"/>
      <c r="G32" s="360"/>
      <c r="H32" s="360"/>
      <c r="I32" s="360"/>
      <c r="J32" s="360"/>
      <c r="K32" s="360"/>
      <c r="L32" s="361"/>
      <c r="M32" s="267"/>
      <c r="N32" s="267"/>
    </row>
    <row r="33" spans="1:14" s="5" customFormat="1" ht="18" customHeight="1">
      <c r="A33" s="350" t="s">
        <v>19</v>
      </c>
      <c r="B33" s="350"/>
      <c r="C33" s="350"/>
      <c r="D33" s="350"/>
      <c r="E33" s="350"/>
      <c r="F33" s="350"/>
      <c r="G33" s="350"/>
      <c r="H33" s="350"/>
      <c r="I33" s="213">
        <f>E9+(C9-D9)</f>
        <v>6185</v>
      </c>
      <c r="J33" s="362"/>
      <c r="K33" s="363"/>
      <c r="L33" s="364"/>
      <c r="M33" s="276"/>
      <c r="N33" s="276"/>
    </row>
    <row r="34" spans="1:14" s="5" customFormat="1" ht="18" customHeight="1">
      <c r="A34" s="350" t="s">
        <v>20</v>
      </c>
      <c r="B34" s="350"/>
      <c r="C34" s="350"/>
      <c r="D34" s="350"/>
      <c r="E34" s="350"/>
      <c r="F34" s="350"/>
      <c r="G34" s="350"/>
      <c r="H34" s="350"/>
      <c r="I34" s="213">
        <f>H9+I9-J29-K29-L29</f>
        <v>1440</v>
      </c>
      <c r="J34" s="365"/>
      <c r="K34" s="366"/>
      <c r="L34" s="367"/>
      <c r="M34" s="276"/>
      <c r="N34" s="276"/>
    </row>
    <row r="35" spans="1:14" s="5" customFormat="1" ht="30" customHeight="1">
      <c r="A35" s="372" t="s">
        <v>177</v>
      </c>
      <c r="B35" s="373"/>
      <c r="C35" s="373"/>
      <c r="D35" s="373"/>
      <c r="E35" s="373"/>
      <c r="F35" s="373"/>
      <c r="G35" s="373"/>
      <c r="H35" s="374"/>
      <c r="I35" s="254">
        <f>D29-D9+I36</f>
        <v>7206.423611111111</v>
      </c>
      <c r="J35" s="365"/>
      <c r="K35" s="366"/>
      <c r="L35" s="367"/>
      <c r="M35" s="276"/>
      <c r="N35" s="276"/>
    </row>
    <row r="36" spans="1:14" s="5" customFormat="1" ht="30" customHeight="1">
      <c r="A36" s="371" t="s">
        <v>172</v>
      </c>
      <c r="B36" s="350"/>
      <c r="C36" s="350"/>
      <c r="D36" s="350"/>
      <c r="E36" s="350"/>
      <c r="F36" s="350"/>
      <c r="G36" s="350"/>
      <c r="H36" s="350"/>
      <c r="I36" s="213">
        <f>C9-((I9-L30)*C9/I34)</f>
        <v>7206.423611111111</v>
      </c>
      <c r="J36" s="365"/>
      <c r="K36" s="366"/>
      <c r="L36" s="367"/>
      <c r="M36" s="276"/>
      <c r="N36" s="276"/>
    </row>
    <row r="37" spans="1:14" s="5" customFormat="1" ht="18" customHeight="1">
      <c r="A37" s="348" t="s">
        <v>21</v>
      </c>
      <c r="B37" s="349"/>
      <c r="C37" s="349"/>
      <c r="D37" s="349"/>
      <c r="E37" s="349"/>
      <c r="F37" s="349"/>
      <c r="G37" s="349"/>
      <c r="H37" s="349"/>
      <c r="I37" s="214">
        <f>IF(B29=2,18000,IF(B29=3,24000,10000))</f>
        <v>18000</v>
      </c>
      <c r="J37" s="368"/>
      <c r="K37" s="369"/>
      <c r="L37" s="370"/>
      <c r="M37" s="276"/>
      <c r="N37" s="276"/>
    </row>
    <row r="38" spans="1:14" s="5" customFormat="1" ht="18" customHeight="1">
      <c r="A38" s="348" t="s">
        <v>130</v>
      </c>
      <c r="B38" s="349"/>
      <c r="C38" s="349"/>
      <c r="D38" s="349"/>
      <c r="E38" s="349"/>
      <c r="F38" s="349"/>
      <c r="G38" s="349"/>
      <c r="H38" s="349"/>
      <c r="I38" s="213">
        <f>IF(B29=3,C29-F14,C29-(F14/2))</f>
        <v>9420</v>
      </c>
      <c r="J38" s="214">
        <f>IF(B29=2,F14,IF(B29=3,F14,""))</f>
        <v>1310</v>
      </c>
      <c r="K38" s="215">
        <f>IF(B29=3,F14,"")</f>
      </c>
      <c r="L38" s="216"/>
      <c r="M38" s="277"/>
      <c r="N38" s="277"/>
    </row>
    <row r="39" spans="1:9" s="5" customFormat="1" ht="18" customHeight="1">
      <c r="A39" s="348" t="s">
        <v>163</v>
      </c>
      <c r="B39" s="349"/>
      <c r="C39" s="349"/>
      <c r="D39" s="349"/>
      <c r="E39" s="349"/>
      <c r="F39" s="349"/>
      <c r="G39" s="349"/>
      <c r="H39" s="349"/>
      <c r="I39" s="213">
        <f>(I38+F14+F14)*60/100</f>
        <v>7224</v>
      </c>
    </row>
    <row r="40" spans="1:14" ht="12.75">
      <c r="A40" s="376" t="s">
        <v>25</v>
      </c>
      <c r="B40" s="376"/>
      <c r="C40" s="376"/>
      <c r="D40" s="376"/>
      <c r="E40" s="376"/>
      <c r="F40" s="376"/>
      <c r="G40" s="376"/>
      <c r="H40" s="376"/>
      <c r="I40" s="376"/>
      <c r="J40" s="376"/>
      <c r="K40" s="376"/>
      <c r="L40" s="376"/>
      <c r="M40" s="261"/>
      <c r="N40" s="261"/>
    </row>
    <row r="41" spans="1:14" ht="12.75">
      <c r="A41" s="375" t="s">
        <v>24</v>
      </c>
      <c r="B41" s="375"/>
      <c r="C41" s="375"/>
      <c r="D41" s="375"/>
      <c r="E41" s="375"/>
      <c r="F41" s="375"/>
      <c r="G41" s="375"/>
      <c r="H41" s="375"/>
      <c r="I41" s="375"/>
      <c r="J41" s="375"/>
      <c r="K41" s="375"/>
      <c r="L41" s="375"/>
      <c r="M41" s="260"/>
      <c r="N41" s="260"/>
    </row>
    <row r="42" s="5" customFormat="1" ht="18" customHeight="1" hidden="1"/>
    <row r="43" s="5" customFormat="1" ht="18" customHeight="1" hidden="1"/>
    <row r="44" s="5" customFormat="1" ht="18" customHeight="1" hidden="1"/>
    <row r="45" s="5" customFormat="1" ht="18" customHeight="1" hidden="1"/>
    <row r="46" s="5" customFormat="1" ht="18" customHeight="1" hidden="1"/>
    <row r="47" s="5" customFormat="1" ht="18" customHeight="1" hidden="1"/>
    <row r="48" s="5" customFormat="1" ht="18" customHeight="1" hidden="1"/>
    <row r="49" s="5" customFormat="1" ht="18" customHeight="1" hidden="1"/>
    <row r="50" s="5" customFormat="1" ht="18" customHeight="1" hidden="1"/>
    <row r="51" s="5" customFormat="1" ht="18" customHeight="1" hidden="1"/>
    <row r="52" s="5" customFormat="1" ht="18" customHeight="1" hidden="1"/>
    <row r="53" s="5" customFormat="1" ht="18" customHeight="1" hidden="1"/>
    <row r="54" s="5" customFormat="1" ht="18" customHeight="1" hidden="1"/>
    <row r="55" s="5" customFormat="1" ht="18" customHeight="1" hidden="1"/>
    <row r="56" s="5" customFormat="1" ht="18" customHeight="1" hidden="1"/>
    <row r="57" s="5" customFormat="1" ht="18" customHeight="1" hidden="1"/>
    <row r="58" s="5" customFormat="1" ht="18" customHeight="1" hidden="1"/>
    <row r="59" s="5" customFormat="1" ht="18" customHeight="1" hidden="1"/>
    <row r="60" s="5" customFormat="1" ht="18" customHeight="1" hidden="1"/>
    <row r="61" s="5" customFormat="1" ht="18" customHeight="1" hidden="1"/>
    <row r="62" s="5" customFormat="1" ht="18" customHeight="1" hidden="1"/>
    <row r="63" s="5" customFormat="1" ht="18" customHeight="1" hidden="1"/>
    <row r="64" s="5" customFormat="1" ht="18" customHeight="1" hidden="1"/>
    <row r="65" s="5" customFormat="1" ht="18" customHeight="1" hidden="1"/>
    <row r="66" s="5" customFormat="1" ht="18" customHeight="1" hidden="1"/>
    <row r="67" s="5" customFormat="1" ht="18" customHeight="1" hidden="1"/>
    <row r="68" s="5" customFormat="1" ht="18" customHeight="1" hidden="1"/>
    <row r="69" s="5" customFormat="1" ht="18" customHeight="1" hidden="1"/>
    <row r="70" s="5" customFormat="1" ht="18" customHeight="1" hidden="1"/>
    <row r="71" s="5" customFormat="1" ht="18" customHeight="1" hidden="1"/>
    <row r="72" s="5" customFormat="1" ht="18" customHeight="1" hidden="1"/>
    <row r="73" s="5" customFormat="1" ht="18" customHeight="1" hidden="1"/>
    <row r="74" s="5" customFormat="1" ht="18" customHeight="1" hidden="1"/>
    <row r="75" s="5" customFormat="1" ht="18" customHeight="1" hidden="1"/>
    <row r="76" s="5" customFormat="1" ht="18" customHeight="1" hidden="1"/>
    <row r="77" s="5" customFormat="1" ht="18" customHeight="1" hidden="1"/>
    <row r="78" s="5" customFormat="1" ht="18" customHeight="1" hidden="1"/>
    <row r="79" s="5" customFormat="1" ht="18" customHeight="1" hidden="1"/>
    <row r="80" s="5" customFormat="1" ht="18" customHeight="1" hidden="1"/>
    <row r="81" s="5" customFormat="1" ht="18" customHeight="1" hidden="1"/>
    <row r="82" s="5" customFormat="1" ht="18" customHeight="1" hidden="1"/>
    <row r="83" s="5" customFormat="1" ht="18" customHeight="1" hidden="1"/>
    <row r="84" s="5" customFormat="1" ht="18" customHeight="1" hidden="1"/>
    <row r="85" s="5" customFormat="1" ht="18" customHeight="1" hidden="1"/>
    <row r="86" s="5" customFormat="1" ht="18" customHeight="1" hidden="1"/>
    <row r="87" s="5" customFormat="1" ht="18" customHeight="1" hidden="1"/>
    <row r="88" s="5" customFormat="1" ht="18" customHeight="1" hidden="1"/>
    <row r="89" s="5" customFormat="1" ht="18" customHeight="1" hidden="1"/>
    <row r="90" s="5" customFormat="1" ht="18" customHeight="1" hidden="1"/>
    <row r="91" s="5" customFormat="1" ht="18" customHeight="1" hidden="1"/>
    <row r="92" s="5" customFormat="1" ht="18" customHeight="1" hidden="1"/>
    <row r="93" s="5" customFormat="1" ht="18" customHeight="1" hidden="1"/>
    <row r="94" s="5" customFormat="1" ht="18" customHeight="1" hidden="1"/>
    <row r="95" s="5" customFormat="1" ht="18" customHeight="1" hidden="1"/>
    <row r="96" s="5" customFormat="1" ht="18" customHeight="1" hidden="1"/>
    <row r="97" s="5" customFormat="1" ht="18" customHeight="1" hidden="1"/>
    <row r="98" s="5" customFormat="1" ht="18" customHeight="1" hidden="1"/>
    <row r="99" s="5" customFormat="1" ht="18" customHeight="1" hidden="1"/>
    <row r="100" s="5" customFormat="1" ht="18" customHeight="1" hidden="1"/>
    <row r="101" s="5" customFormat="1" ht="18" customHeight="1" hidden="1"/>
    <row r="102" s="5" customFormat="1" ht="18" customHeight="1" hidden="1"/>
    <row r="103" s="5" customFormat="1" ht="18" customHeight="1" hidden="1"/>
    <row r="104" s="5" customFormat="1" ht="18" customHeight="1" hidden="1"/>
    <row r="105" s="5" customFormat="1" ht="18" customHeight="1" hidden="1"/>
    <row r="106" s="5" customFormat="1" ht="18" customHeight="1" hidden="1"/>
    <row r="107" s="5" customFormat="1" ht="18" customHeight="1" hidden="1"/>
    <row r="108" s="5" customFormat="1" ht="18" customHeight="1" hidden="1"/>
    <row r="109" s="5" customFormat="1" ht="18" customHeight="1" hidden="1"/>
    <row r="110" s="5" customFormat="1" ht="18" customHeight="1" hidden="1"/>
    <row r="111" s="5" customFormat="1" ht="18" customHeight="1" hidden="1"/>
    <row r="112" s="5" customFormat="1" ht="18" customHeight="1" hidden="1"/>
    <row r="113" s="5" customFormat="1" ht="18" customHeight="1" hidden="1"/>
    <row r="114" s="5" customFormat="1" ht="18" customHeight="1" hidden="1"/>
    <row r="115" s="5" customFormat="1" ht="18" customHeight="1" hidden="1"/>
    <row r="116" s="5" customFormat="1" ht="18" customHeight="1" hidden="1"/>
    <row r="117" s="5" customFormat="1" ht="18" customHeight="1" hidden="1"/>
    <row r="118" s="5" customFormat="1" ht="18" customHeight="1" hidden="1"/>
    <row r="119" s="5" customFormat="1" ht="18" customHeight="1" hidden="1"/>
    <row r="120" s="5" customFormat="1" ht="18" customHeight="1" hidden="1"/>
    <row r="121" s="5" customFormat="1" ht="18" customHeight="1" hidden="1"/>
    <row r="122" s="5" customFormat="1" ht="18" customHeight="1" hidden="1"/>
    <row r="123" s="5" customFormat="1" ht="18" customHeight="1" hidden="1"/>
    <row r="124" s="5" customFormat="1" ht="18" customHeight="1" hidden="1"/>
    <row r="125" s="5" customFormat="1" ht="18" customHeight="1" hidden="1"/>
    <row r="126" s="5" customFormat="1" ht="18" customHeight="1" hidden="1"/>
    <row r="127" s="5" customFormat="1" ht="18" customHeight="1" hidden="1"/>
    <row r="128" s="5" customFormat="1" ht="18" customHeight="1" hidden="1"/>
    <row r="129" s="5" customFormat="1" ht="18" customHeight="1" hidden="1"/>
    <row r="130" s="5" customFormat="1" ht="18" customHeight="1" hidden="1"/>
    <row r="131" s="5" customFormat="1" ht="18" customHeight="1" hidden="1"/>
    <row r="132" s="5" customFormat="1" ht="18" customHeight="1" hidden="1"/>
    <row r="133" s="5" customFormat="1" ht="18" customHeight="1" hidden="1"/>
    <row r="134" s="5" customFormat="1" ht="18" customHeight="1" hidden="1"/>
    <row r="135" s="5" customFormat="1" ht="18" customHeight="1" hidden="1"/>
    <row r="136" s="5" customFormat="1" ht="18" customHeight="1" hidden="1"/>
    <row r="137" s="5" customFormat="1" ht="18" customHeight="1" hidden="1"/>
    <row r="138" s="5" customFormat="1" ht="18" customHeight="1" hidden="1"/>
    <row r="139" s="5" customFormat="1" ht="18" customHeight="1" hidden="1"/>
    <row r="140" s="5" customFormat="1" ht="18" customHeight="1" hidden="1"/>
    <row r="141" s="5" customFormat="1" ht="18" customHeight="1" hidden="1"/>
    <row r="142" s="5" customFormat="1" ht="18" customHeight="1" hidden="1"/>
    <row r="143" s="5" customFormat="1" ht="18" customHeight="1" hidden="1"/>
    <row r="144" s="5" customFormat="1" ht="18" customHeight="1" hidden="1"/>
    <row r="145" s="5" customFormat="1" ht="18" customHeight="1" hidden="1"/>
    <row r="146" s="5" customFormat="1" ht="18" customHeight="1" hidden="1"/>
    <row r="147" s="5" customFormat="1" ht="18" customHeight="1" hidden="1"/>
    <row r="148" s="5" customFormat="1" ht="18" customHeight="1" hidden="1"/>
    <row r="149" s="5" customFormat="1" ht="18" customHeight="1" hidden="1"/>
    <row r="150" s="5" customFormat="1" ht="18" customHeight="1" hidden="1"/>
    <row r="151" s="5" customFormat="1" ht="18" customHeight="1" hidden="1"/>
    <row r="152" s="5" customFormat="1" ht="18" customHeight="1" hidden="1"/>
    <row r="153" s="5" customFormat="1" ht="18" customHeight="1" hidden="1"/>
    <row r="154" s="5" customFormat="1" ht="18" customHeight="1" hidden="1"/>
    <row r="155" s="5" customFormat="1" ht="18" customHeight="1" hidden="1"/>
    <row r="156" s="5" customFormat="1" ht="18" customHeight="1" hidden="1"/>
    <row r="157" s="5" customFormat="1" ht="18" customHeight="1" hidden="1"/>
    <row r="158" s="5" customFormat="1" ht="18" customHeight="1" hidden="1"/>
    <row r="159" s="5" customFormat="1" ht="18" customHeight="1" hidden="1"/>
    <row r="160" s="5" customFormat="1" ht="18" customHeight="1" hidden="1"/>
    <row r="161" s="5" customFormat="1" ht="18" customHeight="1" hidden="1"/>
    <row r="162" s="5" customFormat="1" ht="18" customHeight="1" hidden="1"/>
    <row r="163" s="5" customFormat="1" ht="18" customHeight="1" hidden="1"/>
    <row r="164" s="5" customFormat="1" ht="18" customHeight="1" hidden="1"/>
    <row r="165" s="5" customFormat="1" ht="18" customHeight="1" hidden="1"/>
    <row r="166" s="5" customFormat="1" ht="18" customHeight="1" hidden="1"/>
    <row r="167" s="5" customFormat="1" ht="18" customHeight="1" hidden="1"/>
    <row r="168" s="5" customFormat="1" ht="18" customHeight="1" hidden="1"/>
    <row r="169" s="5" customFormat="1" ht="18" customHeight="1" hidden="1"/>
    <row r="170" s="5" customFormat="1" ht="18" customHeight="1" hidden="1"/>
    <row r="171" s="5" customFormat="1" ht="18" customHeight="1" hidden="1"/>
    <row r="172" s="5" customFormat="1" ht="18" customHeight="1" hidden="1"/>
    <row r="173" s="5" customFormat="1" ht="18" customHeight="1" hidden="1"/>
    <row r="174" s="5" customFormat="1" ht="18" customHeight="1" hidden="1"/>
    <row r="175" s="5" customFormat="1" ht="18" customHeight="1" hidden="1"/>
    <row r="176" s="5" customFormat="1" ht="18" customHeight="1" hidden="1"/>
    <row r="177" s="5" customFormat="1" ht="18" customHeight="1" hidden="1"/>
    <row r="178" s="5" customFormat="1" ht="18" customHeight="1" hidden="1"/>
    <row r="179" s="5" customFormat="1" ht="18" customHeight="1" hidden="1"/>
    <row r="180" s="5" customFormat="1" ht="18" customHeight="1" hidden="1"/>
    <row r="181" s="5" customFormat="1" ht="18" customHeight="1" hidden="1"/>
    <row r="182" s="5" customFormat="1" ht="18" customHeight="1" hidden="1"/>
    <row r="183" s="5" customFormat="1" ht="18" customHeight="1" hidden="1"/>
    <row r="184" s="5" customFormat="1" ht="18" customHeight="1" hidden="1"/>
    <row r="185" s="5" customFormat="1" ht="18" customHeight="1" hidden="1"/>
    <row r="186" s="5" customFormat="1" ht="18" customHeight="1" hidden="1"/>
    <row r="187" s="5" customFormat="1" ht="18" customHeight="1" hidden="1"/>
    <row r="188" s="5" customFormat="1" ht="18" customHeight="1" hidden="1"/>
    <row r="189" s="5" customFormat="1" ht="18" customHeight="1" hidden="1"/>
    <row r="190" s="5" customFormat="1" ht="18" customHeight="1" hidden="1"/>
    <row r="191" s="5" customFormat="1" ht="18" customHeight="1" hidden="1"/>
    <row r="192" s="5" customFormat="1" ht="18" customHeight="1" hidden="1"/>
    <row r="193" s="5" customFormat="1" ht="18" customHeight="1" hidden="1"/>
    <row r="194" s="5" customFormat="1" ht="18" customHeight="1" hidden="1"/>
    <row r="195" s="5" customFormat="1" ht="18" customHeight="1" hidden="1"/>
    <row r="196" s="5" customFormat="1" ht="18" customHeight="1" hidden="1"/>
    <row r="197" s="5" customFormat="1" ht="18" customHeight="1" hidden="1"/>
    <row r="198" s="5" customFormat="1" ht="18" customHeight="1" hidden="1"/>
    <row r="199" s="5" customFormat="1" ht="18" customHeight="1" hidden="1"/>
    <row r="200" s="5" customFormat="1" ht="18" customHeight="1" hidden="1"/>
    <row r="201" s="5" customFormat="1" ht="18" customHeight="1" hidden="1"/>
    <row r="202" s="5" customFormat="1" ht="18" customHeight="1" hidden="1"/>
    <row r="203" s="5" customFormat="1" ht="18" customHeight="1" hidden="1"/>
    <row r="204" s="5" customFormat="1" ht="18" customHeight="1" hidden="1"/>
    <row r="205" s="5" customFormat="1" ht="18" customHeight="1" hidden="1"/>
    <row r="206" s="5" customFormat="1" ht="18" customHeight="1" hidden="1"/>
    <row r="207" s="5" customFormat="1" ht="18" customHeight="1" hidden="1"/>
    <row r="208" s="5" customFormat="1" ht="18" customHeight="1" hidden="1"/>
    <row r="209" s="5" customFormat="1" ht="18" customHeight="1" hidden="1"/>
    <row r="210" s="5" customFormat="1" ht="18" customHeight="1" hidden="1"/>
    <row r="211" s="5" customFormat="1" ht="18" customHeight="1" hidden="1"/>
    <row r="212" s="5" customFormat="1" ht="18" customHeight="1" hidden="1"/>
    <row r="213" s="5" customFormat="1" ht="18" customHeight="1" hidden="1"/>
    <row r="214" s="5" customFormat="1" ht="18" customHeight="1" hidden="1"/>
    <row r="215" s="5" customFormat="1" ht="18" customHeight="1" hidden="1"/>
    <row r="216" s="5" customFormat="1" ht="18" customHeight="1" hidden="1"/>
    <row r="217" s="5" customFormat="1" ht="18" customHeight="1" hidden="1"/>
    <row r="218" s="5" customFormat="1" ht="18" customHeight="1" hidden="1"/>
    <row r="219" s="5" customFormat="1" ht="18" customHeight="1" hidden="1"/>
    <row r="220" s="5" customFormat="1" ht="18" customHeight="1" hidden="1"/>
    <row r="221" s="5" customFormat="1" ht="18" customHeight="1" hidden="1"/>
    <row r="222" s="5" customFormat="1" ht="18" customHeight="1" hidden="1"/>
    <row r="223" s="5" customFormat="1" ht="18" customHeight="1" hidden="1"/>
    <row r="224" s="5" customFormat="1" ht="18" customHeight="1" hidden="1"/>
    <row r="225" s="5" customFormat="1" ht="18" customHeight="1" hidden="1"/>
    <row r="226" s="5" customFormat="1" ht="18" customHeight="1" hidden="1"/>
    <row r="227" s="5" customFormat="1" ht="18" customHeight="1" hidden="1"/>
    <row r="228" s="5" customFormat="1" ht="18" customHeight="1" hidden="1"/>
    <row r="229" s="5" customFormat="1" ht="18" customHeight="1" hidden="1"/>
    <row r="230" s="5" customFormat="1" ht="18" customHeight="1" hidden="1"/>
    <row r="231" s="5" customFormat="1" ht="18" customHeight="1" hidden="1"/>
    <row r="232" s="5" customFormat="1" ht="18" customHeight="1" hidden="1"/>
    <row r="233" s="5" customFormat="1" ht="18" customHeight="1" hidden="1"/>
    <row r="234" s="5" customFormat="1" ht="18" customHeight="1" hidden="1"/>
    <row r="235" s="5" customFormat="1" ht="18" customHeight="1" hidden="1"/>
    <row r="236" s="5" customFormat="1" ht="18" customHeight="1" hidden="1"/>
    <row r="237" s="5" customFormat="1" ht="18" customHeight="1" hidden="1"/>
    <row r="238" s="5" customFormat="1" ht="18" customHeight="1" hidden="1"/>
    <row r="239" s="5" customFormat="1" ht="18" customHeight="1" hidden="1"/>
    <row r="240" s="5" customFormat="1" ht="18" customHeight="1" hidden="1"/>
    <row r="241" s="5" customFormat="1" ht="18" customHeight="1" hidden="1"/>
    <row r="242" s="5" customFormat="1" ht="18" customHeight="1" hidden="1"/>
    <row r="243" s="5" customFormat="1" ht="18" customHeight="1" hidden="1"/>
    <row r="244" s="5" customFormat="1" ht="18" customHeight="1" hidden="1"/>
    <row r="245" s="5" customFormat="1" ht="18" customHeight="1" hidden="1"/>
    <row r="246" s="5" customFormat="1" ht="18" customHeight="1" hidden="1"/>
    <row r="247" s="5" customFormat="1" ht="18" customHeight="1" hidden="1"/>
    <row r="248" s="5" customFormat="1" ht="18" customHeight="1" hidden="1"/>
    <row r="249" s="5" customFormat="1" ht="18" customHeight="1" hidden="1"/>
    <row r="250" s="5" customFormat="1" ht="18" customHeight="1" hidden="1"/>
    <row r="251" s="5" customFormat="1" ht="18" customHeight="1" hidden="1"/>
    <row r="252" s="5" customFormat="1" ht="18" customHeight="1" hidden="1"/>
    <row r="253" s="5" customFormat="1" ht="18" customHeight="1" hidden="1"/>
    <row r="254" s="5" customFormat="1" ht="18" customHeight="1" hidden="1"/>
    <row r="255" s="5" customFormat="1" ht="18" customHeight="1" hidden="1"/>
    <row r="256" s="5" customFormat="1" ht="18" customHeight="1" hidden="1"/>
    <row r="257" s="5" customFormat="1" ht="18" customHeight="1" hidden="1"/>
    <row r="258" s="5" customFormat="1" ht="18" customHeight="1" hidden="1"/>
    <row r="259" s="5" customFormat="1" ht="18" customHeight="1" hidden="1"/>
    <row r="260" s="5" customFormat="1" ht="18" customHeight="1" hidden="1"/>
    <row r="261" s="5" customFormat="1" ht="18" customHeight="1" hidden="1"/>
    <row r="262" s="5" customFormat="1" ht="18" customHeight="1" hidden="1"/>
    <row r="263" s="5" customFormat="1" ht="18" customHeight="1" hidden="1"/>
    <row r="264" s="5" customFormat="1" ht="18" customHeight="1" hidden="1"/>
    <row r="265" s="5" customFormat="1" ht="18" customHeight="1" hidden="1"/>
    <row r="266" s="5" customFormat="1" ht="18" customHeight="1" hidden="1"/>
    <row r="267" s="5" customFormat="1" ht="18" customHeight="1" hidden="1"/>
    <row r="268" s="5" customFormat="1" ht="18" customHeight="1" hidden="1"/>
    <row r="269" s="5" customFormat="1" ht="18" customHeight="1" hidden="1"/>
    <row r="270" s="5" customFormat="1" ht="18" customHeight="1" hidden="1"/>
    <row r="271" s="5" customFormat="1" ht="18" customHeight="1" hidden="1"/>
    <row r="272" s="5" customFormat="1" ht="18" customHeight="1" hidden="1"/>
    <row r="273" s="5" customFormat="1" ht="18" customHeight="1" hidden="1"/>
    <row r="274" s="5" customFormat="1" ht="18" customHeight="1" hidden="1"/>
    <row r="275" s="5" customFormat="1" ht="18" customHeight="1" hidden="1"/>
    <row r="276" s="5" customFormat="1" ht="18" customHeight="1" hidden="1"/>
    <row r="277" s="5" customFormat="1" ht="18" customHeight="1" hidden="1"/>
    <row r="278" s="5" customFormat="1" ht="18" customHeight="1" hidden="1"/>
    <row r="279" s="5" customFormat="1" ht="18" customHeight="1" hidden="1"/>
    <row r="280" s="5" customFormat="1" ht="18" customHeight="1" hidden="1"/>
    <row r="281" s="5" customFormat="1" ht="18" customHeight="1" hidden="1"/>
    <row r="282" s="5" customFormat="1" ht="18" customHeight="1" hidden="1"/>
    <row r="283" s="5" customFormat="1" ht="18" customHeight="1" hidden="1"/>
    <row r="284" s="5" customFormat="1" ht="18" customHeight="1" hidden="1"/>
    <row r="285" s="5" customFormat="1" ht="18" customHeight="1" hidden="1"/>
    <row r="286" s="5" customFormat="1" ht="18" customHeight="1" hidden="1"/>
    <row r="287" s="5" customFormat="1" ht="18" customHeight="1" hidden="1"/>
    <row r="288" s="5" customFormat="1" ht="18" customHeight="1" hidden="1"/>
    <row r="289" s="5" customFormat="1" ht="18" customHeight="1" hidden="1"/>
    <row r="290" s="5" customFormat="1" ht="18" customHeight="1" hidden="1"/>
    <row r="291" s="5" customFormat="1" ht="18" customHeight="1" hidden="1"/>
    <row r="292" s="5" customFormat="1" ht="18" customHeight="1" hidden="1"/>
    <row r="293" s="5" customFormat="1" ht="18" customHeight="1" hidden="1"/>
    <row r="294" s="5" customFormat="1" ht="18" customHeight="1" hidden="1"/>
    <row r="295" s="5" customFormat="1" ht="18" customHeight="1" hidden="1"/>
    <row r="296" s="5" customFormat="1" ht="18" customHeight="1" hidden="1"/>
    <row r="297" s="5" customFormat="1" ht="18" customHeight="1" hidden="1"/>
    <row r="298" s="5" customFormat="1" ht="18" customHeight="1" hidden="1"/>
    <row r="299" s="5" customFormat="1" ht="18" customHeight="1" hidden="1"/>
    <row r="300" s="5" customFormat="1" ht="18" customHeight="1" hidden="1"/>
    <row r="301" s="5" customFormat="1" ht="18" customHeight="1" hidden="1"/>
    <row r="302" s="5" customFormat="1" ht="18" customHeight="1" hidden="1"/>
    <row r="303" s="5" customFormat="1" ht="18" customHeight="1" hidden="1"/>
    <row r="304" s="5" customFormat="1" ht="18" customHeight="1" hidden="1"/>
    <row r="305" s="5" customFormat="1" ht="18" customHeight="1" hidden="1"/>
    <row r="306" s="5" customFormat="1" ht="18" customHeight="1" hidden="1"/>
    <row r="307" s="5" customFormat="1" ht="18" customHeight="1" hidden="1"/>
    <row r="308" s="5" customFormat="1" ht="18" customHeight="1" hidden="1"/>
    <row r="309" s="5" customFormat="1" ht="18" customHeight="1" hidden="1"/>
    <row r="310" s="5" customFormat="1" ht="18" customHeight="1" hidden="1"/>
    <row r="311" s="5" customFormat="1" ht="18" customHeight="1" hidden="1"/>
    <row r="312" s="5" customFormat="1" ht="18" customHeight="1" hidden="1"/>
    <row r="313" s="5" customFormat="1" ht="18" customHeight="1" hidden="1"/>
    <row r="314" s="5" customFormat="1" ht="18" customHeight="1" hidden="1"/>
    <row r="315" s="5" customFormat="1" ht="18" customHeight="1" hidden="1"/>
    <row r="316" s="5" customFormat="1" ht="18" customHeight="1" hidden="1"/>
    <row r="317" s="5" customFormat="1" ht="18" customHeight="1" hidden="1"/>
    <row r="318" s="5" customFormat="1" ht="18" customHeight="1" hidden="1"/>
    <row r="319" s="5" customFormat="1" ht="18" customHeight="1" hidden="1"/>
    <row r="320" s="5" customFormat="1" ht="18" customHeight="1" hidden="1"/>
    <row r="321" s="5" customFormat="1" ht="18" customHeight="1" hidden="1"/>
    <row r="322" s="5" customFormat="1" ht="18" customHeight="1" hidden="1"/>
    <row r="323" s="5" customFormat="1" ht="18" customHeight="1" hidden="1"/>
    <row r="324" s="5" customFormat="1" ht="18" customHeight="1" hidden="1"/>
    <row r="325" s="5" customFormat="1" ht="18" customHeight="1" hidden="1"/>
    <row r="326" s="5" customFormat="1" ht="18" customHeight="1" hidden="1"/>
    <row r="327" s="5" customFormat="1" ht="18" customHeight="1" hidden="1"/>
    <row r="328" s="5" customFormat="1" ht="18" customHeight="1" hidden="1"/>
    <row r="329" s="5" customFormat="1" ht="18" customHeight="1" hidden="1"/>
    <row r="330" s="5" customFormat="1" ht="18" customHeight="1" hidden="1"/>
    <row r="331" s="5" customFormat="1" ht="18" customHeight="1" hidden="1"/>
    <row r="332" s="5" customFormat="1" ht="18" customHeight="1" hidden="1"/>
    <row r="333" s="5" customFormat="1" ht="18" customHeight="1" hidden="1"/>
    <row r="334" s="5" customFormat="1" ht="18" customHeight="1" hidden="1"/>
    <row r="335" s="5" customFormat="1" ht="18" customHeight="1" hidden="1"/>
    <row r="336" s="5" customFormat="1" ht="18" customHeight="1" hidden="1"/>
    <row r="337" s="5" customFormat="1" ht="18" customHeight="1" hidden="1"/>
    <row r="338" s="5" customFormat="1" ht="18" customHeight="1" hidden="1"/>
    <row r="339" s="5" customFormat="1" ht="18" customHeight="1" hidden="1"/>
    <row r="340" s="5" customFormat="1" ht="18" customHeight="1" hidden="1"/>
    <row r="341" s="5" customFormat="1" ht="18" customHeight="1" hidden="1"/>
    <row r="342" s="5" customFormat="1" ht="18" customHeight="1" hidden="1"/>
    <row r="343" s="5" customFormat="1" ht="18" customHeight="1" hidden="1"/>
    <row r="344" s="5" customFormat="1" ht="18" customHeight="1" hidden="1"/>
    <row r="345" s="5" customFormat="1" ht="18" customHeight="1" hidden="1"/>
    <row r="346" s="5" customFormat="1" ht="18" customHeight="1" hidden="1"/>
    <row r="347" s="5" customFormat="1" ht="18" customHeight="1" hidden="1"/>
    <row r="348" s="5" customFormat="1" ht="18" customHeight="1" hidden="1"/>
    <row r="349" s="5" customFormat="1" ht="18" customHeight="1" hidden="1"/>
    <row r="350" s="5" customFormat="1" ht="18" customHeight="1" hidden="1"/>
    <row r="351" s="5" customFormat="1" ht="18" customHeight="1" hidden="1"/>
    <row r="352" s="5" customFormat="1" ht="18" customHeight="1" hidden="1"/>
    <row r="353" s="5" customFormat="1" ht="18" customHeight="1" hidden="1"/>
    <row r="354" s="5" customFormat="1" ht="18" customHeight="1" hidden="1"/>
    <row r="355" s="5" customFormat="1" ht="18" customHeight="1" hidden="1"/>
    <row r="356" s="5" customFormat="1" ht="18" customHeight="1" hidden="1"/>
    <row r="357" s="5" customFormat="1" ht="18" customHeight="1" hidden="1"/>
    <row r="358" s="5" customFormat="1" ht="18" customHeight="1" hidden="1"/>
    <row r="359" s="5" customFormat="1" ht="18" customHeight="1" hidden="1"/>
    <row r="360" s="5" customFormat="1" ht="18" customHeight="1" hidden="1"/>
    <row r="361" s="5" customFormat="1" ht="18" customHeight="1" hidden="1"/>
    <row r="362" s="5" customFormat="1" ht="18" customHeight="1" hidden="1"/>
    <row r="363" s="5" customFormat="1" ht="18" customHeight="1" hidden="1"/>
    <row r="364" s="5" customFormat="1" ht="18" customHeight="1" hidden="1"/>
    <row r="365" s="5" customFormat="1" ht="18" customHeight="1" hidden="1"/>
    <row r="366" s="5" customFormat="1" ht="18" customHeight="1" hidden="1"/>
    <row r="367" s="5" customFormat="1" ht="18" customHeight="1" hidden="1"/>
    <row r="368" s="5" customFormat="1" ht="18" customHeight="1" hidden="1"/>
    <row r="369" s="5" customFormat="1" ht="18" customHeight="1" hidden="1"/>
    <row r="370" s="5" customFormat="1" ht="18" customHeight="1" hidden="1"/>
    <row r="371" s="5" customFormat="1" ht="18" customHeight="1" hidden="1"/>
    <row r="372" s="5" customFormat="1" ht="18" customHeight="1" hidden="1"/>
    <row r="373" s="5" customFormat="1" ht="18" customHeight="1" hidden="1"/>
    <row r="374" s="5" customFormat="1" ht="18" customHeight="1" hidden="1"/>
    <row r="375" s="5" customFormat="1" ht="18" customHeight="1" hidden="1"/>
    <row r="376" s="5" customFormat="1" ht="18" customHeight="1" hidden="1"/>
    <row r="377" s="5" customFormat="1" ht="18" customHeight="1" hidden="1"/>
    <row r="378" s="5" customFormat="1" ht="18" customHeight="1" hidden="1"/>
    <row r="379" s="5" customFormat="1" ht="18" customHeight="1" hidden="1"/>
    <row r="380" s="5" customFormat="1" ht="18" customHeight="1" hidden="1"/>
    <row r="381" s="5" customFormat="1" ht="18" customHeight="1" hidden="1"/>
    <row r="382" s="5" customFormat="1" ht="18" customHeight="1" hidden="1"/>
    <row r="383" s="5" customFormat="1" ht="18" customHeight="1" hidden="1"/>
    <row r="384" s="5" customFormat="1" ht="18" customHeight="1" hidden="1"/>
    <row r="385" s="5" customFormat="1" ht="18" customHeight="1" hidden="1"/>
    <row r="386" s="5" customFormat="1" ht="18" customHeight="1" hidden="1"/>
    <row r="387" s="5" customFormat="1" ht="18" customHeight="1" hidden="1"/>
    <row r="388" s="5" customFormat="1" ht="18" customHeight="1" hidden="1"/>
    <row r="389" s="5" customFormat="1" ht="18" customHeight="1" hidden="1"/>
    <row r="390" s="5" customFormat="1" ht="18" customHeight="1" hidden="1"/>
    <row r="391" s="5" customFormat="1" ht="18" customHeight="1" hidden="1"/>
    <row r="392" s="5" customFormat="1" ht="18" customHeight="1" hidden="1"/>
    <row r="393" s="5" customFormat="1" ht="18" customHeight="1" hidden="1"/>
    <row r="394" s="5" customFormat="1" ht="18" customHeight="1" hidden="1"/>
    <row r="395" s="5" customFormat="1" ht="18" customHeight="1" hidden="1"/>
    <row r="396" s="5" customFormat="1" ht="18" customHeight="1" hidden="1"/>
    <row r="397" s="5" customFormat="1" ht="18" customHeight="1" hidden="1"/>
    <row r="398" s="5" customFormat="1" ht="18" customHeight="1" hidden="1"/>
    <row r="399" s="5" customFormat="1" ht="18" customHeight="1" hidden="1"/>
    <row r="400" s="5" customFormat="1" ht="18" customHeight="1" hidden="1"/>
    <row r="401" s="5" customFormat="1" ht="18" customHeight="1" hidden="1"/>
    <row r="402" s="5" customFormat="1" ht="18" customHeight="1" hidden="1"/>
    <row r="403" s="5" customFormat="1" ht="18" customHeight="1" hidden="1"/>
    <row r="404" s="5" customFormat="1" ht="18" customHeight="1" hidden="1"/>
    <row r="405" s="5" customFormat="1" ht="18" customHeight="1" hidden="1"/>
    <row r="406" s="5" customFormat="1" ht="18" customHeight="1" hidden="1"/>
    <row r="407" s="5" customFormat="1" ht="18" customHeight="1" hidden="1"/>
    <row r="408" s="5" customFormat="1" ht="18" customHeight="1" hidden="1"/>
    <row r="409" s="5" customFormat="1" ht="18" customHeight="1" hidden="1"/>
    <row r="410" s="5" customFormat="1" ht="18" customHeight="1" hidden="1"/>
    <row r="411" s="5" customFormat="1" ht="18" customHeight="1" hidden="1"/>
    <row r="412" s="5" customFormat="1" ht="18" customHeight="1" hidden="1"/>
    <row r="413" s="5" customFormat="1" ht="18" customHeight="1" hidden="1"/>
    <row r="414" s="5" customFormat="1" ht="18" customHeight="1" hidden="1"/>
    <row r="415" s="5" customFormat="1" ht="18" customHeight="1" hidden="1"/>
    <row r="416" s="5" customFormat="1" ht="18" customHeight="1" hidden="1"/>
    <row r="417" s="5" customFormat="1" ht="18" customHeight="1" hidden="1"/>
    <row r="418" s="5" customFormat="1" ht="18" customHeight="1" hidden="1"/>
    <row r="419" s="5" customFormat="1" ht="18" customHeight="1" hidden="1"/>
    <row r="420" s="5" customFormat="1" ht="18" customHeight="1" hidden="1"/>
    <row r="421" s="5" customFormat="1" ht="18" customHeight="1" hidden="1"/>
    <row r="422" s="5" customFormat="1" ht="18" customHeight="1" hidden="1"/>
    <row r="423" s="5" customFormat="1" ht="18" customHeight="1" hidden="1"/>
    <row r="424" s="5" customFormat="1" ht="18" customHeight="1" hidden="1"/>
    <row r="425" s="5" customFormat="1" ht="18" customHeight="1" hidden="1"/>
    <row r="426" s="5" customFormat="1" ht="18" customHeight="1" hidden="1"/>
    <row r="427" s="5" customFormat="1" ht="18" customHeight="1" hidden="1"/>
    <row r="428" s="5" customFormat="1" ht="18" customHeight="1" hidden="1"/>
    <row r="429" s="5" customFormat="1" ht="18" customHeight="1" hidden="1"/>
    <row r="430" s="5" customFormat="1" ht="18" customHeight="1" hidden="1"/>
    <row r="431" s="5" customFormat="1" ht="18" customHeight="1" hidden="1"/>
    <row r="432" s="5" customFormat="1" ht="18" customHeight="1" hidden="1"/>
    <row r="433" s="5" customFormat="1" ht="18" customHeight="1" hidden="1"/>
    <row r="434" s="5" customFormat="1" ht="18" customHeight="1" hidden="1"/>
    <row r="435" s="5" customFormat="1" ht="18" customHeight="1" hidden="1"/>
    <row r="436" s="5" customFormat="1" ht="18" customHeight="1" hidden="1"/>
    <row r="437" s="5" customFormat="1" ht="18" customHeight="1" hidden="1"/>
    <row r="438" ht="12.75"/>
    <row r="439" ht="12.75"/>
  </sheetData>
  <sheetProtection password="DFA2" sheet="1" objects="1" scenarios="1"/>
  <mergeCells count="71">
    <mergeCell ref="A39:H39"/>
    <mergeCell ref="A15:G15"/>
    <mergeCell ref="H15:L15"/>
    <mergeCell ref="A20:E20"/>
    <mergeCell ref="H20:L20"/>
    <mergeCell ref="H16:L16"/>
    <mergeCell ref="H17:L17"/>
    <mergeCell ref="H21:L21"/>
    <mergeCell ref="A21:E21"/>
    <mergeCell ref="H24:L24"/>
    <mergeCell ref="A41:L41"/>
    <mergeCell ref="A40:L40"/>
    <mergeCell ref="A1:L1"/>
    <mergeCell ref="A2:L2"/>
    <mergeCell ref="A3:F3"/>
    <mergeCell ref="J30:K30"/>
    <mergeCell ref="H23:L23"/>
    <mergeCell ref="G3:L3"/>
    <mergeCell ref="A14:E14"/>
    <mergeCell ref="A27:A28"/>
    <mergeCell ref="A32:L32"/>
    <mergeCell ref="J33:L37"/>
    <mergeCell ref="A36:H36"/>
    <mergeCell ref="A35:H35"/>
    <mergeCell ref="A33:H33"/>
    <mergeCell ref="C27:F27"/>
    <mergeCell ref="G27:G28"/>
    <mergeCell ref="H27:I27"/>
    <mergeCell ref="A38:H38"/>
    <mergeCell ref="A34:H34"/>
    <mergeCell ref="C7:F7"/>
    <mergeCell ref="A10:L10"/>
    <mergeCell ref="H19:L19"/>
    <mergeCell ref="A22:E22"/>
    <mergeCell ref="H7:I7"/>
    <mergeCell ref="J7:L7"/>
    <mergeCell ref="A17:E17"/>
    <mergeCell ref="A37:H37"/>
    <mergeCell ref="P2:W2"/>
    <mergeCell ref="P3:W10"/>
    <mergeCell ref="P12:W12"/>
    <mergeCell ref="P13:W22"/>
    <mergeCell ref="A6:N6"/>
    <mergeCell ref="M7:N7"/>
    <mergeCell ref="A19:E19"/>
    <mergeCell ref="M30:N30"/>
    <mergeCell ref="P23:W27"/>
    <mergeCell ref="A12:E12"/>
    <mergeCell ref="A13:E13"/>
    <mergeCell ref="H22:L22"/>
    <mergeCell ref="H12:L13"/>
    <mergeCell ref="E30:G30"/>
    <mergeCell ref="A30:B30"/>
    <mergeCell ref="A23:E23"/>
    <mergeCell ref="A18:E18"/>
    <mergeCell ref="A4:B4"/>
    <mergeCell ref="H4:L4"/>
    <mergeCell ref="E4:F4"/>
    <mergeCell ref="A5:L5"/>
    <mergeCell ref="A7:A8"/>
    <mergeCell ref="A11:L11"/>
    <mergeCell ref="G7:G8"/>
    <mergeCell ref="B7:B8"/>
    <mergeCell ref="A24:E24"/>
    <mergeCell ref="A16:G16"/>
    <mergeCell ref="M27:N27"/>
    <mergeCell ref="A26:N26"/>
    <mergeCell ref="H18:L18"/>
    <mergeCell ref="H14:L14"/>
    <mergeCell ref="B27:B28"/>
    <mergeCell ref="J27:L27"/>
  </mergeCells>
  <dataValidations count="3">
    <dataValidation errorStyle="warning" type="decimal" allowBlank="1" showInputMessage="1" showErrorMessage="1" errorTitle="nằm ngoài khoảng cho phép" error="Giá trị FOH phải nằm trong khoảng 450 - 1200 mm" sqref="F13">
      <formula1>400</formula1>
      <formula2>1210</formula2>
    </dataValidation>
    <dataValidation errorStyle="warning" type="decimal" operator="lessThan" allowBlank="1" showInputMessage="1" showErrorMessage="1" errorTitle="Chiều dài cơ sở quá lớn" error="Chiều dài cơ sở tính toán WB khôn g nên thiết kế lớn hơn 10.000 mm sẽ không thỏa mãn hành lang quay vòng của đoàn xe" sqref="F12">
      <formula1>11000</formula1>
    </dataValidation>
    <dataValidation errorStyle="warning" type="decimal" allowBlank="1" showInputMessage="1" showErrorMessage="1" errorTitle="nằm ngoài khoảng cho phép" error="Giá trị d phải nằm trong khoảng 1300 - 1500 mm" sqref="F14">
      <formula1>1300</formula1>
      <formula2>1500</formula2>
    </dataValidation>
  </dataValidations>
  <printOptions horizontalCentered="1" verticalCentered="1"/>
  <pageMargins left="0.39" right="0.27" top="0.26" bottom="0.28" header="0.19" footer="0.24"/>
  <pageSetup fitToHeight="1" fitToWidth="1" horizontalDpi="600" verticalDpi="600" orientation="landscape" paperSize="9" scale="58" r:id="rId2"/>
  <colBreaks count="1" manualBreakCount="1">
    <brk id="14" max="65535" man="1"/>
  </col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H46"/>
  <sheetViews>
    <sheetView zoomScalePageLayoutView="0" workbookViewId="0" topLeftCell="A1">
      <selection activeCell="C19" sqref="C19"/>
    </sheetView>
  </sheetViews>
  <sheetFormatPr defaultColWidth="0" defaultRowHeight="15" customHeight="1" zeroHeight="1"/>
  <cols>
    <col min="1" max="1" width="28.28125" style="204" customWidth="1"/>
    <col min="2" max="2" width="19.140625" style="204" customWidth="1"/>
    <col min="3" max="3" width="13.140625" style="204" customWidth="1"/>
    <col min="4" max="4" width="18.00390625" style="204" customWidth="1"/>
    <col min="5" max="5" width="19.28125" style="204" customWidth="1"/>
    <col min="6" max="6" width="12.7109375" style="204" customWidth="1"/>
    <col min="7" max="7" width="22.57421875" style="204" customWidth="1"/>
    <col min="8" max="8" width="14.00390625" style="204" customWidth="1"/>
    <col min="9" max="9" width="14.57421875" style="204" customWidth="1"/>
    <col min="10" max="10" width="13.28125" style="18" customWidth="1"/>
    <col min="11" max="11" width="33.421875" style="18" customWidth="1"/>
    <col min="12" max="12" width="37.28125" style="18" customWidth="1"/>
    <col min="13" max="13" width="24.7109375" style="18" customWidth="1"/>
    <col min="14" max="14" width="15.421875" style="18" customWidth="1"/>
    <col min="15" max="15" width="6.8515625" style="18" customWidth="1"/>
    <col min="16" max="17" width="10.140625" style="18" hidden="1" customWidth="1"/>
    <col min="18" max="18" width="32.28125" style="18" hidden="1" customWidth="1"/>
    <col min="19" max="19" width="10.140625" style="18" hidden="1" customWidth="1"/>
    <col min="20" max="20" width="12.28125" style="18" hidden="1" customWidth="1"/>
    <col min="21" max="23" width="22.00390625" style="18" hidden="1" customWidth="1"/>
    <col min="24" max="24" width="10.140625" style="18" hidden="1" customWidth="1"/>
    <col min="25" max="27" width="12.28125" style="18" hidden="1" customWidth="1"/>
    <col min="28" max="35" width="10.140625" style="18" hidden="1" customWidth="1"/>
    <col min="36" max="16384" width="9.140625" style="18" hidden="1" customWidth="1"/>
  </cols>
  <sheetData>
    <row r="1" spans="1:34" ht="41.25" customHeight="1" thickBot="1">
      <c r="A1" s="411" t="s">
        <v>142</v>
      </c>
      <c r="B1" s="411"/>
      <c r="C1" s="411"/>
      <c r="D1" s="411"/>
      <c r="E1" s="411"/>
      <c r="F1" s="411"/>
      <c r="G1" s="411"/>
      <c r="H1" s="411"/>
      <c r="I1" s="411"/>
      <c r="J1" s="11"/>
      <c r="K1" s="12"/>
      <c r="L1" s="12"/>
      <c r="M1" s="12"/>
      <c r="N1" s="13"/>
      <c r="O1" s="14"/>
      <c r="P1" s="15"/>
      <c r="Q1" s="15"/>
      <c r="R1" s="15"/>
      <c r="S1" s="15"/>
      <c r="T1" s="15"/>
      <c r="U1" s="15"/>
      <c r="V1" s="15"/>
      <c r="W1" s="15"/>
      <c r="X1" s="15"/>
      <c r="Y1" s="15"/>
      <c r="Z1" s="15"/>
      <c r="AA1" s="15"/>
      <c r="AB1" s="16"/>
      <c r="AC1" s="17"/>
      <c r="AD1" s="17"/>
      <c r="AE1" s="17"/>
      <c r="AF1" s="17"/>
      <c r="AG1" s="17"/>
      <c r="AH1" s="17"/>
    </row>
    <row r="2" spans="1:34" s="25" customFormat="1" ht="28.5" customHeight="1" thickBot="1" thickTop="1">
      <c r="A2" s="226" t="s">
        <v>151</v>
      </c>
      <c r="B2" s="412" t="str">
        <f>'Tính toán ĐC SMRM - Sơ bộ'!E4</f>
        <v>29H-XXXX</v>
      </c>
      <c r="C2" s="413"/>
      <c r="D2" s="227" t="s">
        <v>30</v>
      </c>
      <c r="E2" s="414" t="str">
        <f>'Tính toán ĐC SMRM - Sơ bộ'!H4</f>
        <v>LGA…</v>
      </c>
      <c r="F2" s="415"/>
      <c r="G2" s="415"/>
      <c r="H2" s="416"/>
      <c r="I2" s="212"/>
      <c r="J2" s="19"/>
      <c r="K2" s="19"/>
      <c r="L2" s="19"/>
      <c r="M2" s="20"/>
      <c r="N2" s="21"/>
      <c r="O2" s="22"/>
      <c r="P2" s="23"/>
      <c r="Q2" s="23"/>
      <c r="R2" s="23"/>
      <c r="S2" s="23"/>
      <c r="T2" s="23"/>
      <c r="U2" s="23"/>
      <c r="V2" s="23"/>
      <c r="W2" s="23"/>
      <c r="X2" s="23"/>
      <c r="Y2" s="23"/>
      <c r="Z2" s="23"/>
      <c r="AA2" s="23"/>
      <c r="AB2" s="24"/>
      <c r="AC2" s="24"/>
      <c r="AD2" s="24"/>
      <c r="AE2" s="24"/>
      <c r="AF2" s="24"/>
      <c r="AG2" s="24"/>
      <c r="AH2" s="24"/>
    </row>
    <row r="3" spans="1:34" ht="27" customHeight="1">
      <c r="A3" s="417" t="s">
        <v>133</v>
      </c>
      <c r="B3" s="418"/>
      <c r="C3" s="418"/>
      <c r="D3" s="418"/>
      <c r="E3" s="418"/>
      <c r="F3" s="418"/>
      <c r="G3" s="418"/>
      <c r="H3" s="418"/>
      <c r="I3" s="419"/>
      <c r="J3" s="26"/>
      <c r="K3" s="26"/>
      <c r="L3" s="26"/>
      <c r="M3" s="20"/>
      <c r="N3" s="21"/>
      <c r="O3" s="14"/>
      <c r="P3" s="15"/>
      <c r="Q3" s="15"/>
      <c r="R3" s="15"/>
      <c r="S3" s="15"/>
      <c r="T3" s="15"/>
      <c r="U3" s="15"/>
      <c r="V3" s="15"/>
      <c r="W3" s="15"/>
      <c r="X3" s="15"/>
      <c r="Y3" s="15"/>
      <c r="Z3" s="15"/>
      <c r="AA3" s="15"/>
      <c r="AB3" s="16"/>
      <c r="AC3" s="17"/>
      <c r="AD3" s="17"/>
      <c r="AE3" s="17"/>
      <c r="AF3" s="17"/>
      <c r="AG3" s="17"/>
      <c r="AH3" s="17"/>
    </row>
    <row r="4" spans="1:34" s="25" customFormat="1" ht="21.75" customHeight="1">
      <c r="A4" s="428" t="s">
        <v>31</v>
      </c>
      <c r="B4" s="429" t="s">
        <v>32</v>
      </c>
      <c r="C4" s="429" t="s">
        <v>33</v>
      </c>
      <c r="D4" s="429" t="s">
        <v>34</v>
      </c>
      <c r="E4" s="420" t="s">
        <v>35</v>
      </c>
      <c r="F4" s="420" t="s">
        <v>36</v>
      </c>
      <c r="G4" s="420" t="s">
        <v>37</v>
      </c>
      <c r="H4" s="420"/>
      <c r="I4" s="421" t="s">
        <v>38</v>
      </c>
      <c r="J4" s="28"/>
      <c r="K4" s="28"/>
      <c r="L4" s="28"/>
      <c r="M4" s="29"/>
      <c r="N4" s="30"/>
      <c r="O4" s="22"/>
      <c r="P4" s="23"/>
      <c r="Q4" s="23"/>
      <c r="R4" s="23"/>
      <c r="S4" s="23"/>
      <c r="T4" s="23"/>
      <c r="U4" s="23"/>
      <c r="V4" s="23"/>
      <c r="W4" s="23"/>
      <c r="X4" s="23"/>
      <c r="Y4" s="23"/>
      <c r="Z4" s="23"/>
      <c r="AA4" s="23"/>
      <c r="AB4" s="24"/>
      <c r="AC4" s="24"/>
      <c r="AD4" s="24"/>
      <c r="AE4" s="24"/>
      <c r="AF4" s="24"/>
      <c r="AG4" s="24"/>
      <c r="AH4" s="24"/>
    </row>
    <row r="5" spans="1:34" s="35" customFormat="1" ht="88.5" customHeight="1">
      <c r="A5" s="428"/>
      <c r="B5" s="430"/>
      <c r="C5" s="430"/>
      <c r="D5" s="430"/>
      <c r="E5" s="420"/>
      <c r="F5" s="420"/>
      <c r="G5" s="27" t="s">
        <v>39</v>
      </c>
      <c r="H5" s="27" t="s">
        <v>40</v>
      </c>
      <c r="I5" s="421"/>
      <c r="J5" s="31"/>
      <c r="K5" s="28"/>
      <c r="L5" s="28"/>
      <c r="M5" s="29"/>
      <c r="N5" s="30"/>
      <c r="O5" s="32"/>
      <c r="P5" s="33"/>
      <c r="Q5" s="33"/>
      <c r="R5" s="33"/>
      <c r="S5" s="33"/>
      <c r="T5" s="33"/>
      <c r="U5" s="33"/>
      <c r="V5" s="33"/>
      <c r="W5" s="33"/>
      <c r="X5" s="33"/>
      <c r="Y5" s="33"/>
      <c r="Z5" s="33"/>
      <c r="AA5" s="33"/>
      <c r="AB5" s="34"/>
      <c r="AC5" s="34"/>
      <c r="AD5" s="34"/>
      <c r="AE5" s="34"/>
      <c r="AF5" s="34"/>
      <c r="AG5" s="34"/>
      <c r="AH5" s="34"/>
    </row>
    <row r="6" spans="1:34" s="40" customFormat="1" ht="39" customHeight="1" thickBot="1">
      <c r="A6" s="207" t="str">
        <f>'Tính toán ĐC SMRM - Sơ bộ'!A9</f>
        <v>ABC</v>
      </c>
      <c r="B6" s="208" t="str">
        <f>'Tính toán ĐC SMRM - Sơ bộ'!G3</f>
        <v>Sơ mi rơ moóc tải (chở container)</v>
      </c>
      <c r="C6" s="209">
        <f>'Tính toán ĐC SMRM - Sơ bộ'!F9</f>
        <v>12400</v>
      </c>
      <c r="D6" s="209">
        <f>'Tính toán ĐC SMRM - Sơ bộ'!E9</f>
        <v>900</v>
      </c>
      <c r="E6" s="209" t="str">
        <f>'Tính toán ĐC SMRM - Sơ bộ'!C30</f>
        <v>9420 + 1310</v>
      </c>
      <c r="F6" s="210">
        <f>'Tính toán ĐC SMRM - Sơ bộ'!D29</f>
        <v>4790</v>
      </c>
      <c r="G6" s="209">
        <f>'Tính toán ĐC SMRM - Sơ bộ'!H29</f>
        <v>1030</v>
      </c>
      <c r="H6" s="209">
        <f>'Tính toán ĐC SMRM - Sơ bộ'!I29</f>
        <v>2530</v>
      </c>
      <c r="I6" s="211">
        <f>'Tính toán ĐC SMRM - Sơ bộ'!F18</f>
        <v>30000</v>
      </c>
      <c r="J6" s="31"/>
      <c r="K6" s="36"/>
      <c r="L6" s="36"/>
      <c r="M6" s="37"/>
      <c r="N6" s="37"/>
      <c r="O6" s="38"/>
      <c r="P6" s="39"/>
      <c r="Q6" s="39"/>
      <c r="R6" s="39"/>
      <c r="S6" s="39"/>
      <c r="T6" s="39"/>
      <c r="U6" s="39"/>
      <c r="V6" s="39"/>
      <c r="W6" s="39"/>
      <c r="X6" s="39"/>
      <c r="Y6" s="39"/>
      <c r="Z6" s="39"/>
      <c r="AA6" s="39"/>
      <c r="AB6" s="39"/>
      <c r="AC6" s="39"/>
      <c r="AD6" s="39"/>
      <c r="AE6" s="39"/>
      <c r="AF6" s="39"/>
      <c r="AG6" s="39"/>
      <c r="AH6" s="39"/>
    </row>
    <row r="7" spans="1:34" s="25" customFormat="1" ht="19.5" customHeight="1" thickBot="1" thickTop="1">
      <c r="A7" s="422" t="s">
        <v>42</v>
      </c>
      <c r="B7" s="422"/>
      <c r="C7" s="422"/>
      <c r="D7" s="422"/>
      <c r="E7" s="422"/>
      <c r="F7" s="422"/>
      <c r="G7" s="422"/>
      <c r="H7" s="422"/>
      <c r="I7" s="422"/>
      <c r="J7" s="41"/>
      <c r="K7" s="41"/>
      <c r="L7" s="41"/>
      <c r="M7" s="42"/>
      <c r="N7" s="43"/>
      <c r="O7" s="22"/>
      <c r="P7" s="23"/>
      <c r="Q7" s="23"/>
      <c r="R7" s="23"/>
      <c r="S7" s="23"/>
      <c r="T7" s="23"/>
      <c r="U7" s="23"/>
      <c r="V7" s="23"/>
      <c r="W7" s="23"/>
      <c r="X7" s="23"/>
      <c r="Y7" s="23"/>
      <c r="Z7" s="23"/>
      <c r="AA7" s="23"/>
      <c r="AB7" s="24"/>
      <c r="AC7" s="24"/>
      <c r="AD7" s="24"/>
      <c r="AE7" s="24"/>
      <c r="AF7" s="24"/>
      <c r="AG7" s="24"/>
      <c r="AH7" s="24"/>
    </row>
    <row r="8" spans="1:34" s="25" customFormat="1" ht="27.75" customHeight="1" thickTop="1">
      <c r="A8" s="423" t="s">
        <v>43</v>
      </c>
      <c r="B8" s="424"/>
      <c r="C8" s="424"/>
      <c r="D8" s="424"/>
      <c r="E8" s="424"/>
      <c r="F8" s="424"/>
      <c r="G8" s="424"/>
      <c r="H8" s="424"/>
      <c r="I8" s="425"/>
      <c r="J8" s="44"/>
      <c r="K8" s="45"/>
      <c r="L8" s="45"/>
      <c r="M8" s="42"/>
      <c r="N8" s="43"/>
      <c r="O8" s="22"/>
      <c r="P8" s="23"/>
      <c r="Q8" s="23"/>
      <c r="R8" s="23"/>
      <c r="S8" s="23"/>
      <c r="T8" s="23"/>
      <c r="U8" s="23"/>
      <c r="V8" s="23"/>
      <c r="W8" s="23"/>
      <c r="X8" s="23"/>
      <c r="Y8" s="23"/>
      <c r="Z8" s="23"/>
      <c r="AA8" s="23"/>
      <c r="AB8" s="24"/>
      <c r="AC8" s="24"/>
      <c r="AD8" s="24"/>
      <c r="AE8" s="24"/>
      <c r="AF8" s="24"/>
      <c r="AG8" s="24"/>
      <c r="AH8" s="24"/>
    </row>
    <row r="9" spans="1:34" s="25" customFormat="1" ht="40.5" customHeight="1">
      <c r="A9" s="46" t="s">
        <v>137</v>
      </c>
      <c r="B9" s="47"/>
      <c r="C9" s="48" t="s">
        <v>44</v>
      </c>
      <c r="D9" s="48" t="s">
        <v>45</v>
      </c>
      <c r="E9" s="49" t="s">
        <v>46</v>
      </c>
      <c r="F9" s="49" t="s">
        <v>47</v>
      </c>
      <c r="G9" s="50" t="s">
        <v>48</v>
      </c>
      <c r="H9" s="51" t="s">
        <v>49</v>
      </c>
      <c r="I9" s="52" t="s">
        <v>50</v>
      </c>
      <c r="J9" s="53" t="s">
        <v>51</v>
      </c>
      <c r="K9" s="54"/>
      <c r="L9" s="54"/>
      <c r="M9" s="42"/>
      <c r="N9" s="43"/>
      <c r="O9" s="22"/>
      <c r="P9" s="23"/>
      <c r="Q9" s="23"/>
      <c r="R9" s="23"/>
      <c r="S9" s="23"/>
      <c r="T9" s="23"/>
      <c r="U9" s="23"/>
      <c r="V9" s="23"/>
      <c r="W9" s="23"/>
      <c r="X9" s="23"/>
      <c r="Y9" s="23"/>
      <c r="Z9" s="23"/>
      <c r="AA9" s="23"/>
      <c r="AB9" s="24"/>
      <c r="AC9" s="24"/>
      <c r="AD9" s="24"/>
      <c r="AE9" s="24"/>
      <c r="AF9" s="24"/>
      <c r="AG9" s="24"/>
      <c r="AH9" s="24"/>
    </row>
    <row r="10" spans="1:34" s="66" customFormat="1" ht="23.25" customHeight="1" thickBot="1">
      <c r="A10" s="55" t="s">
        <v>80</v>
      </c>
      <c r="B10" s="56" t="str">
        <f>VLOOKUP($A$10,$R$23:$Y$26,2,0)</f>
        <v>6x4</v>
      </c>
      <c r="C10" s="56">
        <f>VLOOKUP($A$10,$R$23:$Z$26,3,0)</f>
        <v>8550</v>
      </c>
      <c r="D10" s="56">
        <f>VLOOKUP($A$10,$R$23:$Z$26,4,0)</f>
        <v>1735</v>
      </c>
      <c r="E10" s="56">
        <f>VLOOKUP($A$10,$R$23:$Z$26,5,0)</f>
        <v>8037</v>
      </c>
      <c r="F10" s="56">
        <f>VLOOKUP($A$10,$R$23:$Z$26,6,0)</f>
        <v>130</v>
      </c>
      <c r="G10" s="57">
        <f>VLOOKUP($A$10,$R$23:$Z$26,7,0)</f>
        <v>15200</v>
      </c>
      <c r="H10" s="57">
        <f>VLOOKUP($A$10,$R$23:$Z$26,8,0)</f>
        <v>23367</v>
      </c>
      <c r="I10" s="58">
        <f>VLOOKUP($A$10,$R$23:$Z$26,9,0)</f>
        <v>37333</v>
      </c>
      <c r="J10" s="59">
        <f>VLOOKUP($A$10,$R$23:$AA$26,10,0)</f>
        <v>37333</v>
      </c>
      <c r="K10" s="60"/>
      <c r="L10" s="60"/>
      <c r="M10" s="61"/>
      <c r="N10" s="62"/>
      <c r="O10" s="63"/>
      <c r="P10" s="64"/>
      <c r="Q10" s="64"/>
      <c r="R10" s="64"/>
      <c r="S10" s="64"/>
      <c r="T10" s="64"/>
      <c r="U10" s="64"/>
      <c r="V10" s="64"/>
      <c r="W10" s="64"/>
      <c r="X10" s="64"/>
      <c r="Y10" s="64"/>
      <c r="Z10" s="64"/>
      <c r="AA10" s="64"/>
      <c r="AB10" s="16"/>
      <c r="AC10" s="65"/>
      <c r="AD10" s="65"/>
      <c r="AE10" s="65"/>
      <c r="AF10" s="65"/>
      <c r="AG10" s="65"/>
      <c r="AH10" s="65"/>
    </row>
    <row r="11" spans="1:34" s="25" customFormat="1" ht="18" customHeight="1" thickTop="1">
      <c r="A11" s="426">
        <f>IF($C$10-$D$10+$C$6-$D$6&gt;20000,CONCATENATE("Phải lựa chọn đầu kéo mẫu khác do chiều dài toàn bộ của đoàn xe (",($C$10-$D$10+$C$6-$D$6)/1000," m) lớn hơn quy định hiện hành (20 m)"),"")</f>
      </c>
      <c r="B11" s="426"/>
      <c r="C11" s="426"/>
      <c r="D11" s="426"/>
      <c r="E11" s="426"/>
      <c r="F11" s="426"/>
      <c r="G11" s="426"/>
      <c r="H11" s="426"/>
      <c r="I11" s="426"/>
      <c r="J11" s="67"/>
      <c r="K11" s="67"/>
      <c r="L11" s="67"/>
      <c r="M11" s="42"/>
      <c r="N11" s="43"/>
      <c r="O11" s="22"/>
      <c r="P11" s="23"/>
      <c r="Q11" s="23"/>
      <c r="R11" s="68"/>
      <c r="S11" s="69"/>
      <c r="T11" s="15"/>
      <c r="U11" s="15"/>
      <c r="V11" s="15"/>
      <c r="W11" s="15"/>
      <c r="X11" s="15"/>
      <c r="Y11" s="15"/>
      <c r="Z11" s="15"/>
      <c r="AA11" s="15"/>
      <c r="AB11" s="70"/>
      <c r="AC11" s="24"/>
      <c r="AD11" s="24"/>
      <c r="AE11" s="24"/>
      <c r="AF11" s="24"/>
      <c r="AG11" s="24"/>
      <c r="AH11" s="24"/>
    </row>
    <row r="12" spans="1:34" s="25" customFormat="1" ht="19.5" customHeight="1">
      <c r="A12" s="427" t="str">
        <f>IF($I$10=$I$36,CONCATENATE("Nên lựa chọn đầu kéo mẫu khác do khối lượng toàn bộ CPTGGT của SMRM (",$I$36," kg) bị hạn chế bởi khối lượng kéo theo CPTGGT của đầu kéo mẫu (",$I$10," kg)"),CONCATENATE("Khối lượng kéo theo theo CPTGGT của đầu kéo mẫu (",$I$10," kg) phù hợp để kéo khối lượng toàn bộ CPTGGT của SMRM (",$I$36," kg)"))</f>
        <v>Khối lượng kéo theo theo CPTGGT của đầu kéo mẫu (37333 kg) phù hợp để kéo khối lượng toàn bộ CPTGGT của SMRM (33050 kg)</v>
      </c>
      <c r="B12" s="427"/>
      <c r="C12" s="427"/>
      <c r="D12" s="427"/>
      <c r="E12" s="427"/>
      <c r="F12" s="427"/>
      <c r="G12" s="427"/>
      <c r="H12" s="427"/>
      <c r="I12" s="427"/>
      <c r="J12" s="67"/>
      <c r="K12" s="67"/>
      <c r="L12" s="67"/>
      <c r="M12" s="42"/>
      <c r="N12" s="43"/>
      <c r="O12" s="22"/>
      <c r="P12" s="23"/>
      <c r="Q12" s="23"/>
      <c r="R12" s="68"/>
      <c r="S12" s="69"/>
      <c r="T12" s="15"/>
      <c r="U12" s="15"/>
      <c r="V12" s="15"/>
      <c r="W12" s="15"/>
      <c r="X12" s="15"/>
      <c r="Y12" s="15"/>
      <c r="Z12" s="15"/>
      <c r="AA12" s="15"/>
      <c r="AB12" s="70"/>
      <c r="AC12" s="24"/>
      <c r="AD12" s="24"/>
      <c r="AE12" s="24"/>
      <c r="AF12" s="24"/>
      <c r="AG12" s="24"/>
      <c r="AH12" s="24"/>
    </row>
    <row r="13" spans="1:34" s="25" customFormat="1" ht="19.5" customHeight="1" thickBot="1">
      <c r="A13" s="431">
        <f>IF($I$32&gt;$J$10,CONCATENATE("Lưu ý: Khối lượng kéo theo theo TK của đầu kéo mẫu (",$J$10," kg) &lt; khối lượng toàn bộ theo TK của SMRM (",$I$32," kg)"),"")</f>
      </c>
      <c r="B13" s="431"/>
      <c r="C13" s="431"/>
      <c r="D13" s="431"/>
      <c r="E13" s="431"/>
      <c r="F13" s="431"/>
      <c r="G13" s="431"/>
      <c r="H13" s="431"/>
      <c r="I13" s="431"/>
      <c r="J13" s="67"/>
      <c r="K13" s="67"/>
      <c r="L13" s="67"/>
      <c r="M13" s="42"/>
      <c r="N13" s="43"/>
      <c r="O13" s="22"/>
      <c r="P13" s="23"/>
      <c r="Q13" s="23"/>
      <c r="R13" s="68"/>
      <c r="S13" s="69"/>
      <c r="T13" s="15"/>
      <c r="U13" s="15"/>
      <c r="V13" s="15"/>
      <c r="W13" s="15"/>
      <c r="X13" s="15"/>
      <c r="Y13" s="15"/>
      <c r="Z13" s="15"/>
      <c r="AA13" s="15"/>
      <c r="AB13" s="70"/>
      <c r="AC13" s="24"/>
      <c r="AD13" s="24"/>
      <c r="AE13" s="24"/>
      <c r="AF13" s="24"/>
      <c r="AG13" s="24"/>
      <c r="AH13" s="24"/>
    </row>
    <row r="14" spans="1:34" s="66" customFormat="1" ht="26.25" customHeight="1" thickTop="1">
      <c r="A14" s="432" t="s">
        <v>53</v>
      </c>
      <c r="B14" s="433"/>
      <c r="C14" s="433"/>
      <c r="D14" s="433"/>
      <c r="E14" s="433"/>
      <c r="F14" s="434"/>
      <c r="G14" s="71" t="s">
        <v>54</v>
      </c>
      <c r="H14" s="435" t="s">
        <v>55</v>
      </c>
      <c r="I14" s="436"/>
      <c r="J14" s="72"/>
      <c r="K14" s="73"/>
      <c r="L14" s="73"/>
      <c r="M14" s="61"/>
      <c r="N14" s="62"/>
      <c r="O14" s="63"/>
      <c r="P14" s="64"/>
      <c r="Q14" s="64"/>
      <c r="R14" s="74"/>
      <c r="S14" s="75"/>
      <c r="T14" s="76"/>
      <c r="U14" s="75"/>
      <c r="V14" s="75"/>
      <c r="W14" s="75"/>
      <c r="X14" s="15"/>
      <c r="Y14" s="77"/>
      <c r="Z14" s="77"/>
      <c r="AA14" s="77"/>
      <c r="AB14" s="70"/>
      <c r="AC14" s="65"/>
      <c r="AD14" s="65"/>
      <c r="AE14" s="65"/>
      <c r="AF14" s="65"/>
      <c r="AG14" s="65"/>
      <c r="AH14" s="65"/>
    </row>
    <row r="15" spans="1:34" s="66" customFormat="1" ht="19.5" customHeight="1">
      <c r="A15" s="437" t="s">
        <v>56</v>
      </c>
      <c r="B15" s="438"/>
      <c r="C15" s="79">
        <f>$I$28</f>
        <v>3560</v>
      </c>
      <c r="D15" s="78" t="s">
        <v>1</v>
      </c>
      <c r="E15" s="439" t="str">
        <f>IF(K33=L33,IF(K33=M33,"Ghi chú: KL hàng chuyên chở CPTGGT bằng KL hàng chuyên chở theo TK do phân bố KL toàn bộ lên kingpin và cầu sau / cụm cầu sau cũng như KL toàn bộ theo TK nhỏ hơn các quy định liên quan đến khối lượng CPTGGT hiện hành.",CONCATENATE("Ghi chú: KL hàng chuyên chở CPTGGT được tính toán ",HLOOKUP($N$33,$K$33:$M$37,2,0)," ",HLOOKUP($N$33,$K$33:$M$37,3,0)," ",HLOOKUP($N$33,$K$33:$M$37,4,0)," ",HLOOKUP($N$33,$K$33:$M$37,5,0))),CONCATENATE("Ghi chú: KL hàng chuyên chở CPTGGT được tính toán ",HLOOKUP($N$33,$K$33:$M$37,2,0)," ",HLOOKUP($N$33,$K$33:$M$37,3,0)," ",HLOOKUP($N$33,$K$33:$M$37,4,0)," ",HLOOKUP($N$33,$K$33:$M$37,5,0)))</f>
        <v>Ghi chú: KL hàng chuyên chở CPTGGT được tính toán căn cứ theo giá trị min giữa tải trọng trục cho phép TGGT của cầu sau / cụm cầu sau của SMRM (18000 kg) và KL toàn bộ theo TK phân bố lên cầu sau / cụm cầu sau của SMRM (18267 kg)</v>
      </c>
      <c r="F15" s="440"/>
      <c r="G15" s="80" t="s">
        <v>57</v>
      </c>
      <c r="H15" s="443" t="s">
        <v>57</v>
      </c>
      <c r="I15" s="444"/>
      <c r="J15" s="81"/>
      <c r="K15" s="82"/>
      <c r="L15" s="82"/>
      <c r="M15" s="61"/>
      <c r="N15" s="62"/>
      <c r="O15" s="63"/>
      <c r="P15" s="64"/>
      <c r="Q15" s="64"/>
      <c r="R15" s="64"/>
      <c r="S15" s="64"/>
      <c r="T15" s="64"/>
      <c r="U15" s="64"/>
      <c r="V15" s="64"/>
      <c r="W15" s="64"/>
      <c r="X15" s="64"/>
      <c r="Y15" s="64"/>
      <c r="Z15" s="64"/>
      <c r="AA15" s="64"/>
      <c r="AB15" s="16"/>
      <c r="AC15" s="65"/>
      <c r="AD15" s="65"/>
      <c r="AE15" s="65"/>
      <c r="AF15" s="65"/>
      <c r="AG15" s="65"/>
      <c r="AH15" s="65"/>
    </row>
    <row r="16" spans="1:34" s="66" customFormat="1" ht="19.5" customHeight="1">
      <c r="A16" s="437" t="s">
        <v>58</v>
      </c>
      <c r="B16" s="438"/>
      <c r="C16" s="79">
        <f>$I$29</f>
        <v>30000</v>
      </c>
      <c r="D16" s="78" t="s">
        <v>1</v>
      </c>
      <c r="E16" s="439"/>
      <c r="F16" s="440"/>
      <c r="G16" s="445"/>
      <c r="H16" s="448"/>
      <c r="I16" s="449"/>
      <c r="J16" s="81"/>
      <c r="K16" s="83"/>
      <c r="L16" s="83"/>
      <c r="M16" s="61"/>
      <c r="N16" s="62"/>
      <c r="O16" s="63"/>
      <c r="P16" s="64"/>
      <c r="Q16" s="64"/>
      <c r="R16" s="64"/>
      <c r="S16" s="64"/>
      <c r="T16" s="64"/>
      <c r="U16" s="64"/>
      <c r="V16" s="64"/>
      <c r="W16" s="64"/>
      <c r="X16" s="64"/>
      <c r="Y16" s="64"/>
      <c r="Z16" s="64"/>
      <c r="AA16" s="64"/>
      <c r="AB16" s="70"/>
      <c r="AC16" s="65"/>
      <c r="AD16" s="65"/>
      <c r="AE16" s="65"/>
      <c r="AF16" s="65"/>
      <c r="AG16" s="65"/>
      <c r="AH16" s="65"/>
    </row>
    <row r="17" spans="1:34" s="66" customFormat="1" ht="19.5" customHeight="1">
      <c r="A17" s="454" t="s">
        <v>59</v>
      </c>
      <c r="B17" s="455"/>
      <c r="C17" s="85">
        <f>$I$33</f>
        <v>29490</v>
      </c>
      <c r="D17" s="84" t="s">
        <v>1</v>
      </c>
      <c r="E17" s="439"/>
      <c r="F17" s="440"/>
      <c r="G17" s="446"/>
      <c r="H17" s="450"/>
      <c r="I17" s="451"/>
      <c r="J17" s="81"/>
      <c r="K17" s="83"/>
      <c r="L17" s="83"/>
      <c r="M17" s="61"/>
      <c r="N17" s="62"/>
      <c r="O17" s="63"/>
      <c r="P17" s="64"/>
      <c r="Q17" s="64"/>
      <c r="R17" s="64"/>
      <c r="S17" s="64"/>
      <c r="T17" s="64"/>
      <c r="U17" s="64"/>
      <c r="V17" s="64"/>
      <c r="W17" s="64"/>
      <c r="X17" s="64"/>
      <c r="Y17" s="64"/>
      <c r="Z17" s="64"/>
      <c r="AA17" s="64"/>
      <c r="AB17" s="86"/>
      <c r="AC17" s="65"/>
      <c r="AD17" s="65"/>
      <c r="AE17" s="65"/>
      <c r="AF17" s="65"/>
      <c r="AG17" s="65"/>
      <c r="AH17" s="65"/>
    </row>
    <row r="18" spans="1:34" s="66" customFormat="1" ht="19.5" customHeight="1">
      <c r="A18" s="437" t="s">
        <v>60</v>
      </c>
      <c r="B18" s="438"/>
      <c r="C18" s="79">
        <f>$I$32</f>
        <v>33560</v>
      </c>
      <c r="D18" s="78" t="s">
        <v>1</v>
      </c>
      <c r="E18" s="439"/>
      <c r="F18" s="440"/>
      <c r="G18" s="446"/>
      <c r="H18" s="450"/>
      <c r="I18" s="451"/>
      <c r="J18" s="81"/>
      <c r="K18" s="83"/>
      <c r="L18" s="83"/>
      <c r="M18" s="61"/>
      <c r="N18" s="62"/>
      <c r="O18" s="63"/>
      <c r="P18" s="64"/>
      <c r="Q18" s="64"/>
      <c r="R18" s="64"/>
      <c r="S18" s="64"/>
      <c r="T18" s="64"/>
      <c r="U18" s="64"/>
      <c r="V18" s="64"/>
      <c r="W18" s="64"/>
      <c r="X18" s="64"/>
      <c r="Y18" s="64"/>
      <c r="Z18" s="64"/>
      <c r="AA18" s="64"/>
      <c r="AB18" s="87"/>
      <c r="AC18" s="65"/>
      <c r="AD18" s="65"/>
      <c r="AE18" s="65"/>
      <c r="AF18" s="65"/>
      <c r="AG18" s="65"/>
      <c r="AH18" s="65"/>
    </row>
    <row r="19" spans="1:34" s="66" customFormat="1" ht="19.5" customHeight="1" thickBot="1">
      <c r="A19" s="456" t="s">
        <v>61</v>
      </c>
      <c r="B19" s="457"/>
      <c r="C19" s="89">
        <f>$I$36</f>
        <v>33050</v>
      </c>
      <c r="D19" s="88" t="s">
        <v>1</v>
      </c>
      <c r="E19" s="441"/>
      <c r="F19" s="442"/>
      <c r="G19" s="447"/>
      <c r="H19" s="452"/>
      <c r="I19" s="453"/>
      <c r="J19" s="81"/>
      <c r="K19" s="83"/>
      <c r="L19" s="83"/>
      <c r="M19" s="61"/>
      <c r="N19" s="62"/>
      <c r="O19" s="63"/>
      <c r="P19" s="64"/>
      <c r="Q19" s="64"/>
      <c r="R19" s="64"/>
      <c r="S19" s="64"/>
      <c r="T19" s="64"/>
      <c r="U19" s="64"/>
      <c r="V19" s="64"/>
      <c r="W19" s="64"/>
      <c r="X19" s="64"/>
      <c r="Y19" s="64"/>
      <c r="Z19" s="64"/>
      <c r="AA19" s="64"/>
      <c r="AB19" s="70"/>
      <c r="AC19" s="65"/>
      <c r="AD19" s="65"/>
      <c r="AE19" s="65"/>
      <c r="AF19" s="65"/>
      <c r="AG19" s="65"/>
      <c r="AH19" s="65"/>
    </row>
    <row r="20" spans="1:34" s="98" customFormat="1" ht="24" customHeight="1" thickTop="1">
      <c r="A20" s="90"/>
      <c r="B20" s="90"/>
      <c r="C20" s="90"/>
      <c r="D20" s="90"/>
      <c r="E20" s="90"/>
      <c r="F20" s="90"/>
      <c r="G20" s="91" t="s">
        <v>62</v>
      </c>
      <c r="H20" s="458">
        <f ca="1">NOW()</f>
        <v>41940.5798119213</v>
      </c>
      <c r="I20" s="458"/>
      <c r="J20" s="92"/>
      <c r="K20" s="92"/>
      <c r="L20" s="92"/>
      <c r="M20" s="93"/>
      <c r="N20" s="94"/>
      <c r="O20" s="95"/>
      <c r="P20" s="96"/>
      <c r="Q20" s="96"/>
      <c r="R20" s="96"/>
      <c r="S20" s="96"/>
      <c r="T20" s="96"/>
      <c r="U20" s="96"/>
      <c r="V20" s="96"/>
      <c r="W20" s="96"/>
      <c r="X20" s="96"/>
      <c r="Y20" s="96"/>
      <c r="Z20" s="96"/>
      <c r="AA20" s="96"/>
      <c r="AB20" s="97"/>
      <c r="AC20" s="97"/>
      <c r="AD20" s="97"/>
      <c r="AE20" s="97"/>
      <c r="AF20" s="97"/>
      <c r="AG20" s="97"/>
      <c r="AH20" s="97"/>
    </row>
    <row r="21" spans="1:34" s="99" customFormat="1" ht="31.5" customHeight="1">
      <c r="A21" s="459"/>
      <c r="B21" s="459"/>
      <c r="C21" s="459"/>
      <c r="D21" s="459"/>
      <c r="E21" s="459"/>
      <c r="F21" s="459"/>
      <c r="G21" s="459"/>
      <c r="J21" s="100"/>
      <c r="K21" s="100"/>
      <c r="L21" s="100"/>
      <c r="M21" s="101"/>
      <c r="N21" s="102"/>
      <c r="O21" s="103"/>
      <c r="P21" s="104"/>
      <c r="Q21" s="104"/>
      <c r="R21" s="104"/>
      <c r="S21" s="104"/>
      <c r="T21" s="104"/>
      <c r="U21" s="104"/>
      <c r="V21" s="104"/>
      <c r="W21" s="104"/>
      <c r="X21" s="104"/>
      <c r="Y21" s="104"/>
      <c r="Z21" s="104"/>
      <c r="AA21" s="104"/>
      <c r="AB21" s="105"/>
      <c r="AC21" s="106"/>
      <c r="AD21" s="106"/>
      <c r="AE21" s="106"/>
      <c r="AF21" s="106"/>
      <c r="AG21" s="106"/>
      <c r="AH21" s="106"/>
    </row>
    <row r="22" spans="1:28" s="65" customFormat="1" ht="4.5" customHeight="1" thickBot="1">
      <c r="A22" s="107"/>
      <c r="B22" s="107"/>
      <c r="C22" s="107"/>
      <c r="D22" s="107"/>
      <c r="E22" s="107"/>
      <c r="F22" s="107"/>
      <c r="G22" s="107"/>
      <c r="H22" s="108"/>
      <c r="I22" s="109"/>
      <c r="J22" s="81"/>
      <c r="K22" s="81"/>
      <c r="L22" s="81"/>
      <c r="M22" s="61"/>
      <c r="N22" s="62"/>
      <c r="O22" s="63"/>
      <c r="P22" s="64"/>
      <c r="Q22" s="64"/>
      <c r="R22" s="64"/>
      <c r="S22" s="64"/>
      <c r="T22" s="64" t="s">
        <v>63</v>
      </c>
      <c r="U22" s="64" t="s">
        <v>64</v>
      </c>
      <c r="V22" s="64"/>
      <c r="W22" s="64"/>
      <c r="X22" s="64"/>
      <c r="Y22" s="64"/>
      <c r="Z22" s="64"/>
      <c r="AA22" s="64"/>
      <c r="AB22" s="70"/>
    </row>
    <row r="23" spans="1:34" s="66" customFormat="1" ht="25.5" customHeight="1" thickTop="1">
      <c r="A23" s="460" t="s">
        <v>65</v>
      </c>
      <c r="B23" s="461"/>
      <c r="C23" s="461"/>
      <c r="D23" s="461"/>
      <c r="E23" s="461"/>
      <c r="F23" s="461"/>
      <c r="G23" s="461"/>
      <c r="H23" s="461"/>
      <c r="I23" s="462"/>
      <c r="J23" s="81"/>
      <c r="K23" s="81"/>
      <c r="L23" s="81"/>
      <c r="M23" s="61"/>
      <c r="N23" s="62"/>
      <c r="O23" s="63"/>
      <c r="P23" s="64"/>
      <c r="Q23" s="64"/>
      <c r="R23" s="15" t="s">
        <v>66</v>
      </c>
      <c r="S23" s="15" t="s">
        <v>67</v>
      </c>
      <c r="T23" s="15">
        <v>5975</v>
      </c>
      <c r="U23" s="15">
        <f>470+1030</f>
        <v>1500</v>
      </c>
      <c r="V23" s="15">
        <v>6990</v>
      </c>
      <c r="W23" s="15">
        <v>130</v>
      </c>
      <c r="X23" s="15">
        <v>8700</v>
      </c>
      <c r="Y23" s="15">
        <f>V23+W23+X23</f>
        <v>15820</v>
      </c>
      <c r="Z23" s="15">
        <f>IF($X$23+$V$23+$W$23+24000&lt;45000,$X$23+24000,45000-$V$23-$W$23)</f>
        <v>32700</v>
      </c>
      <c r="AA23" s="15">
        <f>45000-$V$23-$W$23</f>
        <v>37880</v>
      </c>
      <c r="AB23" s="70"/>
      <c r="AC23" s="65"/>
      <c r="AD23" s="65"/>
      <c r="AE23" s="65"/>
      <c r="AF23" s="65"/>
      <c r="AG23" s="65"/>
      <c r="AH23" s="65"/>
    </row>
    <row r="24" spans="1:34" s="119" customFormat="1" ht="21" customHeight="1">
      <c r="A24" s="463" t="s">
        <v>68</v>
      </c>
      <c r="B24" s="464"/>
      <c r="C24" s="464"/>
      <c r="D24" s="464"/>
      <c r="E24" s="464"/>
      <c r="F24" s="464"/>
      <c r="G24" s="465"/>
      <c r="H24" s="110" t="s">
        <v>69</v>
      </c>
      <c r="I24" s="111">
        <f>IF($E$6&lt;&gt;"",LEN($P$24)-LEN(SUBSTITUTE($P$24,"+",""))+1,"")</f>
        <v>2</v>
      </c>
      <c r="J24" s="112"/>
      <c r="K24" s="113"/>
      <c r="L24" s="113"/>
      <c r="M24" s="114"/>
      <c r="N24" s="115"/>
      <c r="O24" s="116"/>
      <c r="P24" s="466" t="str">
        <f>SUBSTITUTE($E$6," ","")</f>
        <v>9420+1310</v>
      </c>
      <c r="Q24" s="466"/>
      <c r="R24" s="77" t="s">
        <v>52</v>
      </c>
      <c r="S24" s="76" t="s">
        <v>70</v>
      </c>
      <c r="T24" s="76">
        <v>6725</v>
      </c>
      <c r="U24" s="75">
        <f>260+650+880</f>
        <v>1790</v>
      </c>
      <c r="V24" s="75">
        <v>8780</v>
      </c>
      <c r="W24" s="75">
        <v>130</v>
      </c>
      <c r="X24" s="75">
        <v>14500</v>
      </c>
      <c r="Y24" s="15">
        <f>V24+W24+X24</f>
        <v>23410</v>
      </c>
      <c r="Z24" s="15">
        <f>IF($X$24+$V$24+$W$24+24000&lt;70000,$X$24+24000,70000-$V$24-$W$24)</f>
        <v>38500</v>
      </c>
      <c r="AA24" s="15">
        <f>70000-$V$24-$W$24</f>
        <v>61090</v>
      </c>
      <c r="AB24" s="117" t="s">
        <v>71</v>
      </c>
      <c r="AC24" s="118"/>
      <c r="AD24" s="118"/>
      <c r="AE24" s="118"/>
      <c r="AF24" s="118"/>
      <c r="AG24" s="118"/>
      <c r="AH24" s="118"/>
    </row>
    <row r="25" spans="1:34" s="129" customFormat="1" ht="21.75" customHeight="1" thickBot="1">
      <c r="A25" s="467" t="s">
        <v>72</v>
      </c>
      <c r="B25" s="468"/>
      <c r="C25" s="468"/>
      <c r="D25" s="468"/>
      <c r="E25" s="468"/>
      <c r="F25" s="468"/>
      <c r="G25" s="469"/>
      <c r="H25" s="120" t="s">
        <v>73</v>
      </c>
      <c r="I25" s="121">
        <f>VLOOKUP(LEN($P$24)-LEN(SUBSTITUTE($P$24,"+","")),$P$33:$Q$36,2,0)</f>
        <v>10075</v>
      </c>
      <c r="J25" s="122" t="s">
        <v>74</v>
      </c>
      <c r="K25" s="123"/>
      <c r="L25" s="123"/>
      <c r="M25" s="124"/>
      <c r="N25" s="125"/>
      <c r="O25" s="126"/>
      <c r="P25" s="74">
        <v>1</v>
      </c>
      <c r="Q25" s="74">
        <v>10000</v>
      </c>
      <c r="R25" s="77" t="s">
        <v>75</v>
      </c>
      <c r="S25" s="76" t="s">
        <v>70</v>
      </c>
      <c r="T25" s="76">
        <v>6725</v>
      </c>
      <c r="U25" s="75">
        <f>260+650+880</f>
        <v>1790</v>
      </c>
      <c r="V25" s="75">
        <v>8930</v>
      </c>
      <c r="W25" s="75">
        <v>130</v>
      </c>
      <c r="X25" s="75">
        <v>14600</v>
      </c>
      <c r="Y25" s="15">
        <f>V25+W25+X25</f>
        <v>23660</v>
      </c>
      <c r="Z25" s="15">
        <f>IF($X$25+$V$25+$W$25+24000&lt;70000,$X$25+24000,70000-$V$25-$W$25)</f>
        <v>38600</v>
      </c>
      <c r="AA25" s="15">
        <f>70000-$V$25-$W$25</f>
        <v>60940</v>
      </c>
      <c r="AB25" s="127" t="s">
        <v>41</v>
      </c>
      <c r="AC25" s="128"/>
      <c r="AD25" s="128"/>
      <c r="AE25" s="128"/>
      <c r="AF25" s="128"/>
      <c r="AG25" s="128"/>
      <c r="AH25" s="128"/>
    </row>
    <row r="26" spans="1:34" s="129" customFormat="1" ht="24.75" customHeight="1" thickTop="1">
      <c r="A26" s="470" t="s">
        <v>76</v>
      </c>
      <c r="B26" s="471"/>
      <c r="C26" s="471"/>
      <c r="D26" s="472"/>
      <c r="E26" s="479" t="s">
        <v>77</v>
      </c>
      <c r="F26" s="479"/>
      <c r="G26" s="479"/>
      <c r="H26" s="130" t="s">
        <v>78</v>
      </c>
      <c r="I26" s="131">
        <f>$G$6</f>
        <v>1030</v>
      </c>
      <c r="J26" s="132">
        <f>$I$26/$I$28</f>
        <v>0.2893258426966292</v>
      </c>
      <c r="K26" s="133" t="s">
        <v>79</v>
      </c>
      <c r="L26" s="123"/>
      <c r="M26" s="124"/>
      <c r="N26" s="134"/>
      <c r="O26" s="126"/>
      <c r="P26" s="74">
        <v>2</v>
      </c>
      <c r="Q26" s="74">
        <f>IF(RIGHT($P$24,4)*1&lt;1300,16000,18000)</f>
        <v>18000</v>
      </c>
      <c r="R26" s="77" t="s">
        <v>80</v>
      </c>
      <c r="S26" s="76" t="s">
        <v>70</v>
      </c>
      <c r="T26" s="76">
        <v>8550</v>
      </c>
      <c r="U26" s="75">
        <v>1735</v>
      </c>
      <c r="V26" s="75">
        <v>8037</v>
      </c>
      <c r="W26" s="75">
        <v>130</v>
      </c>
      <c r="X26" s="75">
        <v>15200</v>
      </c>
      <c r="Y26" s="15">
        <f>V26+W26+X26</f>
        <v>23367</v>
      </c>
      <c r="Z26" s="15">
        <f>IF($X$26+$V$26+$W$26+24000&lt;45500,$X$26+24000,45500-$V$26-$W$26)</f>
        <v>37333</v>
      </c>
      <c r="AA26" s="15">
        <f>45500-$V$26-$W$26</f>
        <v>37333</v>
      </c>
      <c r="AB26" s="127" t="s">
        <v>81</v>
      </c>
      <c r="AC26" s="128"/>
      <c r="AD26" s="128"/>
      <c r="AE26" s="128"/>
      <c r="AF26" s="128"/>
      <c r="AG26" s="128"/>
      <c r="AH26" s="128"/>
    </row>
    <row r="27" spans="1:34" s="129" customFormat="1" ht="24.75" customHeight="1" thickBot="1">
      <c r="A27" s="473"/>
      <c r="B27" s="474"/>
      <c r="C27" s="474"/>
      <c r="D27" s="475"/>
      <c r="E27" s="480" t="s">
        <v>82</v>
      </c>
      <c r="F27" s="480"/>
      <c r="G27" s="480"/>
      <c r="H27" s="135" t="s">
        <v>83</v>
      </c>
      <c r="I27" s="136">
        <f>$H$6</f>
        <v>2530</v>
      </c>
      <c r="J27" s="132">
        <f>$I$27/$I$28</f>
        <v>0.7106741573033708</v>
      </c>
      <c r="K27" s="137">
        <f>$H$6/$I$24</f>
        <v>1265</v>
      </c>
      <c r="L27" s="123"/>
      <c r="M27" s="124"/>
      <c r="N27" s="134"/>
      <c r="O27" s="126"/>
      <c r="P27" s="138">
        <v>3</v>
      </c>
      <c r="Q27" s="138">
        <f>IF(RIGHT($P$24,4)&gt;1300,24000,21000)</f>
        <v>24000</v>
      </c>
      <c r="R27" s="128"/>
      <c r="S27" s="128" t="str">
        <f>SUBSTITUTE($B$10," ","")</f>
        <v>6x4</v>
      </c>
      <c r="T27" s="128"/>
      <c r="U27" s="128"/>
      <c r="V27" s="128"/>
      <c r="W27" s="128"/>
      <c r="X27" s="128"/>
      <c r="Y27" s="128"/>
      <c r="Z27" s="128"/>
      <c r="AA27" s="128"/>
      <c r="AB27" s="127" t="s">
        <v>84</v>
      </c>
      <c r="AC27" s="128"/>
      <c r="AD27" s="128"/>
      <c r="AE27" s="128"/>
      <c r="AF27" s="128"/>
      <c r="AG27" s="128"/>
      <c r="AH27" s="128"/>
    </row>
    <row r="28" spans="1:34" s="129" customFormat="1" ht="24.75" customHeight="1" thickTop="1">
      <c r="A28" s="476"/>
      <c r="B28" s="477"/>
      <c r="C28" s="477"/>
      <c r="D28" s="478"/>
      <c r="E28" s="481" t="s">
        <v>85</v>
      </c>
      <c r="F28" s="481"/>
      <c r="G28" s="481"/>
      <c r="H28" s="139" t="s">
        <v>86</v>
      </c>
      <c r="I28" s="140">
        <f>$I$26+$I$27</f>
        <v>3560</v>
      </c>
      <c r="J28" s="141"/>
      <c r="K28" s="142"/>
      <c r="L28" s="142"/>
      <c r="M28" s="124"/>
      <c r="N28" s="143"/>
      <c r="O28" s="126"/>
      <c r="P28" s="138">
        <v>4</v>
      </c>
      <c r="Q28" s="138">
        <f>IF(RIGHT($P$24,4)&gt;1300,24000,21000)</f>
        <v>24000</v>
      </c>
      <c r="R28" s="138"/>
      <c r="S28" s="64" t="s">
        <v>67</v>
      </c>
      <c r="T28" s="64">
        <f aca="true" t="shared" si="0" ref="T28:T33">LEFT(S28,1)/2</f>
        <v>2</v>
      </c>
      <c r="U28" s="77">
        <v>16000</v>
      </c>
      <c r="V28" s="77"/>
      <c r="W28" s="75"/>
      <c r="X28" s="77"/>
      <c r="Y28" s="77"/>
      <c r="Z28" s="77"/>
      <c r="AA28" s="77"/>
      <c r="AB28" s="127" t="s">
        <v>87</v>
      </c>
      <c r="AC28" s="128"/>
      <c r="AD28" s="128"/>
      <c r="AE28" s="128"/>
      <c r="AF28" s="128"/>
      <c r="AG28" s="128"/>
      <c r="AH28" s="128"/>
    </row>
    <row r="29" spans="1:34" s="129" customFormat="1" ht="24.75" customHeight="1" thickBot="1">
      <c r="A29" s="482" t="s">
        <v>88</v>
      </c>
      <c r="B29" s="483"/>
      <c r="C29" s="483"/>
      <c r="D29" s="483"/>
      <c r="E29" s="483"/>
      <c r="F29" s="483"/>
      <c r="G29" s="484"/>
      <c r="H29" s="144" t="s">
        <v>89</v>
      </c>
      <c r="I29" s="145">
        <f>$I$6</f>
        <v>30000</v>
      </c>
      <c r="J29" s="122" t="s">
        <v>74</v>
      </c>
      <c r="K29" s="123"/>
      <c r="L29" s="123"/>
      <c r="M29" s="124"/>
      <c r="N29" s="125"/>
      <c r="O29" s="126"/>
      <c r="P29" s="138"/>
      <c r="Q29" s="138"/>
      <c r="R29" s="138"/>
      <c r="S29" s="64" t="s">
        <v>90</v>
      </c>
      <c r="T29" s="64">
        <f t="shared" si="0"/>
        <v>2</v>
      </c>
      <c r="U29" s="77">
        <v>16000</v>
      </c>
      <c r="V29" s="77"/>
      <c r="W29" s="75"/>
      <c r="X29" s="77"/>
      <c r="Y29" s="77"/>
      <c r="Z29" s="77"/>
      <c r="AA29" s="77"/>
      <c r="AB29" s="127" t="s">
        <v>91</v>
      </c>
      <c r="AC29" s="128"/>
      <c r="AD29" s="128"/>
      <c r="AE29" s="128"/>
      <c r="AF29" s="128"/>
      <c r="AG29" s="128"/>
      <c r="AH29" s="128"/>
    </row>
    <row r="30" spans="1:34" s="129" customFormat="1" ht="24.75" customHeight="1" thickTop="1">
      <c r="A30" s="470" t="s">
        <v>92</v>
      </c>
      <c r="B30" s="471"/>
      <c r="C30" s="471"/>
      <c r="D30" s="472"/>
      <c r="E30" s="485" t="s">
        <v>77</v>
      </c>
      <c r="F30" s="485"/>
      <c r="G30" s="485"/>
      <c r="H30" s="146" t="s">
        <v>93</v>
      </c>
      <c r="I30" s="147">
        <f>$I$26+$I$29*$F$6/$I$25</f>
        <v>15293.02729528536</v>
      </c>
      <c r="J30" s="132">
        <f>$I$30/$I$32</f>
        <v>0.45569211249360425</v>
      </c>
      <c r="K30" s="148" t="s">
        <v>94</v>
      </c>
      <c r="L30" s="149"/>
      <c r="M30" s="150"/>
      <c r="N30" s="151"/>
      <c r="O30" s="152"/>
      <c r="P30" s="138"/>
      <c r="Q30" s="138"/>
      <c r="R30" s="138"/>
      <c r="S30" s="64" t="s">
        <v>95</v>
      </c>
      <c r="T30" s="64">
        <f t="shared" si="0"/>
        <v>3</v>
      </c>
      <c r="U30" s="77">
        <v>24000</v>
      </c>
      <c r="V30" s="77"/>
      <c r="W30" s="75"/>
      <c r="X30" s="77"/>
      <c r="Y30" s="77"/>
      <c r="Z30" s="77"/>
      <c r="AA30" s="77"/>
      <c r="AB30" s="127" t="s">
        <v>96</v>
      </c>
      <c r="AC30" s="128"/>
      <c r="AD30" s="128"/>
      <c r="AE30" s="128"/>
      <c r="AF30" s="128"/>
      <c r="AG30" s="128"/>
      <c r="AH30" s="128"/>
    </row>
    <row r="31" spans="1:34" s="129" customFormat="1" ht="24.75" customHeight="1" thickBot="1">
      <c r="A31" s="473"/>
      <c r="B31" s="474"/>
      <c r="C31" s="474"/>
      <c r="D31" s="475"/>
      <c r="E31" s="480" t="s">
        <v>82</v>
      </c>
      <c r="F31" s="480"/>
      <c r="G31" s="480"/>
      <c r="H31" s="135" t="s">
        <v>97</v>
      </c>
      <c r="I31" s="136">
        <f>$I$27+$I$29*($I$25-$F$6)/$I$25</f>
        <v>18266.97270471464</v>
      </c>
      <c r="J31" s="132">
        <f>$I$31/$I$32</f>
        <v>0.5443078875063957</v>
      </c>
      <c r="K31" s="153">
        <f>$I$31/$I$24</f>
        <v>9133.48635235732</v>
      </c>
      <c r="L31" s="154"/>
      <c r="M31" s="155"/>
      <c r="N31" s="156"/>
      <c r="O31" s="152"/>
      <c r="P31" s="138"/>
      <c r="Q31" s="138"/>
      <c r="R31" s="138"/>
      <c r="S31" s="64" t="s">
        <v>70</v>
      </c>
      <c r="T31" s="64">
        <f t="shared" si="0"/>
        <v>3</v>
      </c>
      <c r="U31" s="77">
        <v>24000</v>
      </c>
      <c r="V31" s="77"/>
      <c r="W31" s="75"/>
      <c r="X31" s="77"/>
      <c r="Y31" s="77"/>
      <c r="Z31" s="77"/>
      <c r="AA31" s="77"/>
      <c r="AB31" s="127" t="s">
        <v>98</v>
      </c>
      <c r="AC31" s="128"/>
      <c r="AD31" s="128"/>
      <c r="AE31" s="128"/>
      <c r="AF31" s="128"/>
      <c r="AG31" s="128"/>
      <c r="AH31" s="128"/>
    </row>
    <row r="32" spans="1:34" s="129" customFormat="1" ht="24.75" customHeight="1" thickTop="1">
      <c r="A32" s="476"/>
      <c r="B32" s="477"/>
      <c r="C32" s="477"/>
      <c r="D32" s="478"/>
      <c r="E32" s="481" t="s">
        <v>85</v>
      </c>
      <c r="F32" s="481"/>
      <c r="G32" s="481"/>
      <c r="H32" s="157" t="s">
        <v>99</v>
      </c>
      <c r="I32" s="140">
        <f>$I$30+$I$31</f>
        <v>33560</v>
      </c>
      <c r="J32" s="124"/>
      <c r="K32" s="158" t="s">
        <v>100</v>
      </c>
      <c r="L32" s="159"/>
      <c r="M32" s="159"/>
      <c r="N32" s="160"/>
      <c r="O32" s="152"/>
      <c r="P32" s="138"/>
      <c r="Q32" s="138"/>
      <c r="R32" s="75"/>
      <c r="S32" s="64" t="s">
        <v>101</v>
      </c>
      <c r="T32" s="64">
        <f t="shared" si="0"/>
        <v>3</v>
      </c>
      <c r="U32" s="77">
        <v>24000</v>
      </c>
      <c r="V32" s="77"/>
      <c r="W32" s="75"/>
      <c r="X32" s="77"/>
      <c r="Y32" s="77"/>
      <c r="Z32" s="77"/>
      <c r="AA32" s="77"/>
      <c r="AB32" s="127" t="s">
        <v>102</v>
      </c>
      <c r="AC32" s="128"/>
      <c r="AD32" s="128"/>
      <c r="AE32" s="128"/>
      <c r="AF32" s="128"/>
      <c r="AG32" s="128"/>
      <c r="AH32" s="128"/>
    </row>
    <row r="33" spans="1:34" s="129" customFormat="1" ht="24.75" customHeight="1">
      <c r="A33" s="482" t="s">
        <v>103</v>
      </c>
      <c r="B33" s="483"/>
      <c r="C33" s="483"/>
      <c r="D33" s="483"/>
      <c r="E33" s="483"/>
      <c r="F33" s="483"/>
      <c r="G33" s="484"/>
      <c r="H33" s="144" t="s">
        <v>104</v>
      </c>
      <c r="I33" s="145">
        <f>$N$33</f>
        <v>29490</v>
      </c>
      <c r="J33" s="124"/>
      <c r="K33" s="161">
        <f>IF(($I$37-$I$26)*$I$25/$F$6&lt;$I$29,ROUNDDOWN(($I$37-$I$26)*$I$25/$F$6*2,-1)/2,$I$29)</f>
        <v>29800</v>
      </c>
      <c r="L33" s="162">
        <f>IF(($I$38-$I$27)*$I$25/($I$25-$F$6)&lt;$I$29,ROUNDDOWN(($I$38-$I$27)*$I$25/($I$25-$F$6)*2,-1)/2,$I$29)</f>
        <v>29490</v>
      </c>
      <c r="M33" s="162">
        <f>IF($I$39-$E$10-$F$10-$I$28&lt;$I$29,$I$39-$E$10-$F$10-$I$28,$I$29)</f>
        <v>30000</v>
      </c>
      <c r="N33" s="163">
        <f>MIN($K$33,$L$33,$M$33)</f>
        <v>29490</v>
      </c>
      <c r="O33" s="152"/>
      <c r="P33" s="164">
        <v>0</v>
      </c>
      <c r="Q33" s="165" t="e">
        <f>$P$24*1</f>
        <v>#VALUE!</v>
      </c>
      <c r="R33" s="75"/>
      <c r="S33" s="64" t="s">
        <v>105</v>
      </c>
      <c r="T33" s="64">
        <f t="shared" si="0"/>
        <v>4</v>
      </c>
      <c r="U33" s="77">
        <v>30000</v>
      </c>
      <c r="V33" s="77"/>
      <c r="W33" s="75"/>
      <c r="X33" s="77"/>
      <c r="Y33" s="77"/>
      <c r="Z33" s="77"/>
      <c r="AA33" s="77"/>
      <c r="AB33" s="127" t="s">
        <v>106</v>
      </c>
      <c r="AC33" s="128"/>
      <c r="AD33" s="128"/>
      <c r="AE33" s="128"/>
      <c r="AF33" s="128"/>
      <c r="AG33" s="128"/>
      <c r="AH33" s="128"/>
    </row>
    <row r="34" spans="1:34" s="129" customFormat="1" ht="24.75" customHeight="1">
      <c r="A34" s="470" t="s">
        <v>107</v>
      </c>
      <c r="B34" s="471"/>
      <c r="C34" s="471"/>
      <c r="D34" s="472"/>
      <c r="E34" s="485" t="s">
        <v>77</v>
      </c>
      <c r="F34" s="485"/>
      <c r="G34" s="485"/>
      <c r="H34" s="146" t="s">
        <v>108</v>
      </c>
      <c r="I34" s="166">
        <f>$I$26+$I$33*$F$6/$I$25</f>
        <v>15050.555831265508</v>
      </c>
      <c r="J34" s="124"/>
      <c r="K34" s="167" t="s">
        <v>109</v>
      </c>
      <c r="L34" s="168" t="s">
        <v>110</v>
      </c>
      <c r="M34" s="168" t="s">
        <v>111</v>
      </c>
      <c r="N34" s="486" t="s">
        <v>112</v>
      </c>
      <c r="O34" s="488"/>
      <c r="P34" s="164">
        <v>1</v>
      </c>
      <c r="Q34" s="138">
        <f>IF(FIND("+",$P$24,1)=6,LEFT($P$24,5)*1+RIGHT($P$24,4)/2,LEFT($P$24,4)*1+RIGHT($P$24,4)/2)</f>
        <v>10075</v>
      </c>
      <c r="R34" s="75"/>
      <c r="S34" s="75"/>
      <c r="T34" s="75" t="s">
        <v>113</v>
      </c>
      <c r="U34" s="75" t="s">
        <v>114</v>
      </c>
      <c r="V34" s="75" t="s">
        <v>115</v>
      </c>
      <c r="W34" s="75" t="s">
        <v>116</v>
      </c>
      <c r="X34" s="77"/>
      <c r="Y34" s="77"/>
      <c r="Z34" s="77"/>
      <c r="AA34" s="77"/>
      <c r="AB34" s="127" t="s">
        <v>117</v>
      </c>
      <c r="AC34" s="128"/>
      <c r="AD34" s="128"/>
      <c r="AE34" s="128"/>
      <c r="AF34" s="128"/>
      <c r="AG34" s="128"/>
      <c r="AH34" s="128"/>
    </row>
    <row r="35" spans="1:34" s="129" customFormat="1" ht="24.75" customHeight="1">
      <c r="A35" s="473"/>
      <c r="B35" s="474"/>
      <c r="C35" s="474"/>
      <c r="D35" s="475"/>
      <c r="E35" s="480" t="s">
        <v>82</v>
      </c>
      <c r="F35" s="480"/>
      <c r="G35" s="480"/>
      <c r="H35" s="135" t="s">
        <v>118</v>
      </c>
      <c r="I35" s="169">
        <f>$I$27+$I$33*($I$25-$F$6)/$I$25</f>
        <v>17999.44416873449</v>
      </c>
      <c r="J35" s="124"/>
      <c r="K35" s="170" t="str">
        <f>CONCATENATE("(",ROUND($I$37,0)," ","kg",")")</f>
        <v>(15200 kg)</v>
      </c>
      <c r="L35" s="171" t="str">
        <f>CONCATENATE("(",ROUND($I$38,0)," ","kg",")")</f>
        <v>(18000 kg)</v>
      </c>
      <c r="M35" s="171" t="str">
        <f>CONCATENATE("(",$I$39," ","kg",")")</f>
        <v>(44000 kg)</v>
      </c>
      <c r="N35" s="486"/>
      <c r="O35" s="488"/>
      <c r="P35" s="164">
        <v>2</v>
      </c>
      <c r="Q35" s="138">
        <f>IF(FIND("+",$P$24,1)=6,LEFT($P$24,5)*1+(MID($P$24,7,4)+RIGHT($P$24,4))/2,LEFT($P$24,4)*1+(MID($P$24,6,4)+RIGHT($P$24,4))/2)</f>
        <v>10730</v>
      </c>
      <c r="R35" s="75"/>
      <c r="S35" s="172">
        <v>3</v>
      </c>
      <c r="T35" s="64">
        <f>MIN($U$35,$V$35,$W$35)</f>
        <v>26000</v>
      </c>
      <c r="U35" s="64">
        <f aca="true" t="shared" si="1" ref="U35:U40">$H$10+24000</f>
        <v>47367</v>
      </c>
      <c r="V35" s="75">
        <f aca="true" t="shared" si="2" ref="V35:V40">$I$10+$E$10+$F$10</f>
        <v>45500</v>
      </c>
      <c r="W35" s="75">
        <v>26000</v>
      </c>
      <c r="X35" s="77"/>
      <c r="Y35" s="77"/>
      <c r="Z35" s="77"/>
      <c r="AA35" s="77"/>
      <c r="AB35" s="127" t="s">
        <v>119</v>
      </c>
      <c r="AC35" s="128"/>
      <c r="AD35" s="128"/>
      <c r="AE35" s="128"/>
      <c r="AF35" s="128"/>
      <c r="AG35" s="128"/>
      <c r="AH35" s="128"/>
    </row>
    <row r="36" spans="1:34" s="129" customFormat="1" ht="24.75" customHeight="1">
      <c r="A36" s="476"/>
      <c r="B36" s="477"/>
      <c r="C36" s="477"/>
      <c r="D36" s="478"/>
      <c r="E36" s="481" t="s">
        <v>85</v>
      </c>
      <c r="F36" s="481"/>
      <c r="G36" s="481"/>
      <c r="H36" s="139" t="s">
        <v>120</v>
      </c>
      <c r="I36" s="140">
        <f>$I$35+$I$34</f>
        <v>33050</v>
      </c>
      <c r="J36" s="124"/>
      <c r="K36" s="173" t="s">
        <v>121</v>
      </c>
      <c r="L36" s="174" t="s">
        <v>122</v>
      </c>
      <c r="M36" s="175" t="s">
        <v>123</v>
      </c>
      <c r="N36" s="486"/>
      <c r="O36" s="488"/>
      <c r="P36" s="164">
        <v>3</v>
      </c>
      <c r="Q36" s="138" t="e">
        <f>IF(FIND("+",$P$24,1)=6,LEFT($P$24,5)*1+(MID($P$24,7,4)+MID($P$24,12,4)+RIGHT($P$24,4))/2,LEFT($P$24,4)*1+(MID($P$24,6,4)+MID($P$24,11,4)+RIGHT($P$24,4))/2)</f>
        <v>#VALUE!</v>
      </c>
      <c r="R36" s="75"/>
      <c r="S36" s="172">
        <v>4</v>
      </c>
      <c r="T36" s="64">
        <f>MIN($U$36,$V$36,$W$36)</f>
        <v>34000</v>
      </c>
      <c r="U36" s="64">
        <f t="shared" si="1"/>
        <v>47367</v>
      </c>
      <c r="V36" s="75">
        <f t="shared" si="2"/>
        <v>45500</v>
      </c>
      <c r="W36" s="64">
        <v>34000</v>
      </c>
      <c r="X36" s="77"/>
      <c r="Y36" s="77"/>
      <c r="Z36" s="77"/>
      <c r="AA36" s="77"/>
      <c r="AB36" s="127" t="s">
        <v>124</v>
      </c>
      <c r="AC36" s="128"/>
      <c r="AD36" s="128"/>
      <c r="AE36" s="128"/>
      <c r="AF36" s="128"/>
      <c r="AG36" s="128"/>
      <c r="AH36" s="128"/>
    </row>
    <row r="37" spans="1:34" s="129" customFormat="1" ht="24.75" customHeight="1" thickBot="1">
      <c r="A37" s="489" t="s">
        <v>125</v>
      </c>
      <c r="B37" s="490"/>
      <c r="C37" s="490"/>
      <c r="D37" s="491"/>
      <c r="E37" s="479" t="s">
        <v>77</v>
      </c>
      <c r="F37" s="479"/>
      <c r="G37" s="479"/>
      <c r="H37" s="176" t="s">
        <v>126</v>
      </c>
      <c r="I37" s="177">
        <f>MIN($I$30,$G$10)</f>
        <v>15200</v>
      </c>
      <c r="J37" s="123"/>
      <c r="K37" s="178" t="str">
        <f>CONCATENATE("(",ROUND($I$30,0)," ","kg",")")</f>
        <v>(15293 kg)</v>
      </c>
      <c r="L37" s="179" t="str">
        <f>CONCATENATE("(",ROUND($I$31,0)," ","kg",")")</f>
        <v>(18267 kg)</v>
      </c>
      <c r="M37" s="179" t="str">
        <f>IF($I$32+$E$10+$F$10&lt;$J$10+$E$10+$F$10,CONCATENATE("(",SUM($I$32,$E$10,$F$10)," ","kg",")"),CONCATENATE("(",SUM($J$10,$E$10,$F$10)," ","kg",")"))</f>
        <v>(41727 kg)</v>
      </c>
      <c r="N37" s="487"/>
      <c r="O37" s="488"/>
      <c r="P37" s="64"/>
      <c r="Q37" s="64"/>
      <c r="R37" s="172"/>
      <c r="S37" s="172">
        <v>5</v>
      </c>
      <c r="T37" s="64">
        <f>MIN($U$37,$V$37,$W$37)</f>
        <v>44000</v>
      </c>
      <c r="U37" s="64">
        <f t="shared" si="1"/>
        <v>47367</v>
      </c>
      <c r="V37" s="75">
        <f t="shared" si="2"/>
        <v>45500</v>
      </c>
      <c r="W37" s="64">
        <v>44000</v>
      </c>
      <c r="X37" s="77"/>
      <c r="Y37" s="77"/>
      <c r="Z37" s="77"/>
      <c r="AA37" s="77"/>
      <c r="AB37" s="127" t="s">
        <v>127</v>
      </c>
      <c r="AC37" s="128"/>
      <c r="AD37" s="128"/>
      <c r="AE37" s="128"/>
      <c r="AF37" s="128"/>
      <c r="AG37" s="128"/>
      <c r="AH37" s="128"/>
    </row>
    <row r="38" spans="1:34" s="129" customFormat="1" ht="24.75" customHeight="1" thickBot="1" thickTop="1">
      <c r="A38" s="492"/>
      <c r="B38" s="493"/>
      <c r="C38" s="493"/>
      <c r="D38" s="494"/>
      <c r="E38" s="495" t="s">
        <v>82</v>
      </c>
      <c r="F38" s="495"/>
      <c r="G38" s="495"/>
      <c r="H38" s="180" t="s">
        <v>128</v>
      </c>
      <c r="I38" s="181">
        <f>VLOOKUP($I$24,$P$25:$Q$28,2,0)</f>
        <v>18000</v>
      </c>
      <c r="J38" s="123"/>
      <c r="K38" s="123"/>
      <c r="L38" s="123"/>
      <c r="M38" s="182"/>
      <c r="N38" s="183"/>
      <c r="O38" s="126"/>
      <c r="P38" s="64"/>
      <c r="Q38" s="64"/>
      <c r="R38" s="172"/>
      <c r="S38" s="172">
        <v>6</v>
      </c>
      <c r="T38" s="64">
        <f>MIN($U$38,$V$38,$W$38)</f>
        <v>45500</v>
      </c>
      <c r="U38" s="64">
        <f t="shared" si="1"/>
        <v>47367</v>
      </c>
      <c r="V38" s="75">
        <f t="shared" si="2"/>
        <v>45500</v>
      </c>
      <c r="W38" s="64">
        <v>48000</v>
      </c>
      <c r="X38" s="77"/>
      <c r="Y38" s="77"/>
      <c r="Z38" s="77"/>
      <c r="AA38" s="77"/>
      <c r="AB38" s="127"/>
      <c r="AC38" s="128"/>
      <c r="AD38" s="128"/>
      <c r="AE38" s="128"/>
      <c r="AF38" s="128"/>
      <c r="AG38" s="128"/>
      <c r="AH38" s="128"/>
    </row>
    <row r="39" spans="1:34" s="129" customFormat="1" ht="27.75" customHeight="1" thickBot="1" thickTop="1">
      <c r="A39" s="496" t="s">
        <v>129</v>
      </c>
      <c r="B39" s="497"/>
      <c r="C39" s="497"/>
      <c r="D39" s="497"/>
      <c r="E39" s="497"/>
      <c r="F39" s="497"/>
      <c r="G39" s="498"/>
      <c r="H39" s="184" t="s">
        <v>116</v>
      </c>
      <c r="I39" s="185">
        <f>VLOOKUP(VLOOKUP($S$27,$S$28:$T$33,2,0)+$I$24,$S$35:$T$40,2,0)</f>
        <v>44000</v>
      </c>
      <c r="J39" s="186"/>
      <c r="K39" s="499" t="str">
        <f>HLOOKUP(T41,U41:W42,2,0)</f>
        <v>Khối lượng toàn bộ CPTGGT tối đa của đoàn xe được tính toán căn cứ theo khối lượng toàn bộ CPTGGT của đoàn xe quy định tại 06/VBHN-BGTVT (44000 kg)</v>
      </c>
      <c r="L39" s="500"/>
      <c r="M39" s="186"/>
      <c r="N39" s="186"/>
      <c r="O39" s="186"/>
      <c r="P39" s="187"/>
      <c r="Q39" s="187"/>
      <c r="R39" s="172"/>
      <c r="S39" s="172">
        <v>7</v>
      </c>
      <c r="T39" s="64">
        <f>MIN($U$39,$V$39,$W$39)</f>
        <v>45500</v>
      </c>
      <c r="U39" s="64">
        <f t="shared" si="1"/>
        <v>47367</v>
      </c>
      <c r="V39" s="75">
        <f t="shared" si="2"/>
        <v>45500</v>
      </c>
      <c r="W39" s="64">
        <v>48000</v>
      </c>
      <c r="X39" s="77"/>
      <c r="Y39" s="77"/>
      <c r="Z39" s="77"/>
      <c r="AA39" s="77"/>
      <c r="AB39" s="127"/>
      <c r="AC39" s="128"/>
      <c r="AD39" s="128"/>
      <c r="AE39" s="128"/>
      <c r="AF39" s="128"/>
      <c r="AG39" s="128"/>
      <c r="AH39" s="128"/>
    </row>
    <row r="40" spans="1:34" s="198" customFormat="1" ht="21.75" customHeight="1" thickBot="1" thickTop="1">
      <c r="A40" s="188"/>
      <c r="B40" s="189"/>
      <c r="C40" s="189"/>
      <c r="D40" s="189"/>
      <c r="E40" s="190"/>
      <c r="F40" s="190"/>
      <c r="G40" s="191" t="s">
        <v>62</v>
      </c>
      <c r="H40" s="503">
        <f ca="1">NOW()</f>
        <v>41940.5798119213</v>
      </c>
      <c r="I40" s="503"/>
      <c r="J40" s="186"/>
      <c r="K40" s="501"/>
      <c r="L40" s="502"/>
      <c r="M40" s="192"/>
      <c r="N40" s="193"/>
      <c r="O40" s="194"/>
      <c r="P40" s="15"/>
      <c r="Q40" s="15"/>
      <c r="R40" s="195"/>
      <c r="S40" s="195">
        <v>8</v>
      </c>
      <c r="T40" s="64">
        <f>MIN($U$40,$V$40,$W$40)</f>
        <v>45500</v>
      </c>
      <c r="U40" s="64">
        <f t="shared" si="1"/>
        <v>47367</v>
      </c>
      <c r="V40" s="75">
        <f t="shared" si="2"/>
        <v>45500</v>
      </c>
      <c r="W40" s="64">
        <v>48000</v>
      </c>
      <c r="X40" s="69"/>
      <c r="Y40" s="69"/>
      <c r="Z40" s="69"/>
      <c r="AA40" s="69"/>
      <c r="AB40" s="196"/>
      <c r="AC40" s="197"/>
      <c r="AD40" s="197"/>
      <c r="AE40" s="197"/>
      <c r="AF40" s="197"/>
      <c r="AG40" s="197"/>
      <c r="AH40" s="197"/>
    </row>
    <row r="41" spans="1:34" s="198" customFormat="1" ht="21.75" customHeight="1" thickTop="1">
      <c r="A41" s="199"/>
      <c r="B41" s="199"/>
      <c r="C41" s="199"/>
      <c r="D41" s="199"/>
      <c r="E41" s="199"/>
      <c r="F41" s="199"/>
      <c r="G41" s="199"/>
      <c r="H41" s="199"/>
      <c r="I41" s="200"/>
      <c r="J41" s="186"/>
      <c r="K41" s="186"/>
      <c r="L41" s="201"/>
      <c r="M41" s="192"/>
      <c r="N41" s="193"/>
      <c r="O41" s="194"/>
      <c r="P41" s="69"/>
      <c r="Q41" s="69"/>
      <c r="R41" s="195"/>
      <c r="S41" s="202"/>
      <c r="T41" s="64">
        <f>MIN($U$41,$V$41,$W$41)</f>
        <v>44000</v>
      </c>
      <c r="U41" s="203">
        <f>VLOOKUP(VLOOKUP($S$27,$S$28:$T$33,2,0)+$I$24,$S$35:$W$40,3,0)</f>
        <v>47367</v>
      </c>
      <c r="V41" s="203">
        <f>VLOOKUP(VLOOKUP($S$27,$S$28:$T$33,2,0)+$I$24,$S$35:$W$40,4,0)</f>
        <v>45500</v>
      </c>
      <c r="W41" s="203">
        <f>VLOOKUP(VLOOKUP($S$27,$S$28:$T$33,2,0)+$I$24,$S$35:$W$40,5,0)</f>
        <v>44000</v>
      </c>
      <c r="X41" s="77"/>
      <c r="Y41" s="77"/>
      <c r="Z41" s="77"/>
      <c r="AA41" s="69"/>
      <c r="AB41" s="196"/>
      <c r="AC41" s="197"/>
      <c r="AD41" s="197"/>
      <c r="AE41" s="197"/>
      <c r="AF41" s="197"/>
      <c r="AG41" s="197"/>
      <c r="AH41" s="197"/>
    </row>
    <row r="42" spans="1:34" ht="21.75" customHeight="1">
      <c r="A42" s="199"/>
      <c r="B42" s="199"/>
      <c r="C42" s="199"/>
      <c r="D42" s="199"/>
      <c r="E42" s="199"/>
      <c r="F42" s="199"/>
      <c r="G42" s="199"/>
      <c r="H42" s="199"/>
      <c r="I42" s="199"/>
      <c r="J42" s="199"/>
      <c r="K42" s="199"/>
      <c r="L42" s="199"/>
      <c r="M42" s="199"/>
      <c r="N42" s="199"/>
      <c r="O42" s="199"/>
      <c r="P42" s="17"/>
      <c r="Q42" s="17"/>
      <c r="R42" s="17"/>
      <c r="S42" s="17"/>
      <c r="T42" s="17"/>
      <c r="U42" s="504" t="str">
        <f>CONCATENATE("Khối lượng toàn bộ CPTGGT tối đa của đoàn xe được tính toán căn cứ theo tổng của: khối lượng toàn bộ CPTGGT của ô tô đầu kéo mẫu + tải trọng trục CPTGGT tối đa của cụm cầu sau SMRM quy định tại 06/VBHN-BGTVT (",$H$10,"+24000=",$H$10+24000," kg)")</f>
        <v>Khối lượng toàn bộ CPTGGT tối đa của đoàn xe được tính toán căn cứ theo tổng của: khối lượng toàn bộ CPTGGT của ô tô đầu kéo mẫu + tải trọng trục CPTGGT tối đa của cụm cầu sau SMRM quy định tại 06/VBHN-BGTVT (23367+24000=47367 kg)</v>
      </c>
      <c r="V42" s="504" t="str">
        <f>CONCATENATE("Khối lượng toàn bộ CPTGGT tối đa của đoàn xe được tính toán căn cứ theo tổng của: khối lượng bản thân + khối lượng người + khối lượng kéo theo CPTGGT của ô tô đầu kéo mẫu (",$E$10,"+",$F$10,"+",$I$10,"=",$E$10+$F$10+$I$10," kg)")</f>
        <v>Khối lượng toàn bộ CPTGGT tối đa của đoàn xe được tính toán căn cứ theo tổng của: khối lượng bản thân + khối lượng người + khối lượng kéo theo CPTGGT của ô tô đầu kéo mẫu (8037+130+37333=45500 kg)</v>
      </c>
      <c r="W42" s="504" t="str">
        <f>CONCATENATE("Khối lượng toàn bộ CPTGGT tối đa của đoàn xe được tính toán căn cứ theo khối lượng toàn bộ CPTGGT của đoàn xe quy định tại 06/VBHN-BGTVT (",$W$41," kg)")</f>
        <v>Khối lượng toàn bộ CPTGGT tối đa của đoàn xe được tính toán căn cứ theo khối lượng toàn bộ CPTGGT của đoàn xe quy định tại 06/VBHN-BGTVT (44000 kg)</v>
      </c>
      <c r="X42" s="17"/>
      <c r="Y42" s="17"/>
      <c r="Z42" s="17"/>
      <c r="AA42" s="17"/>
      <c r="AB42" s="17"/>
      <c r="AC42" s="17"/>
      <c r="AD42" s="17"/>
      <c r="AE42" s="17"/>
      <c r="AF42" s="17"/>
      <c r="AG42" s="17"/>
      <c r="AH42" s="17"/>
    </row>
    <row r="43" spans="1:34" ht="21.75" customHeight="1">
      <c r="A43" s="199"/>
      <c r="B43" s="199"/>
      <c r="C43" s="199"/>
      <c r="D43" s="199"/>
      <c r="E43" s="199"/>
      <c r="F43" s="199"/>
      <c r="G43" s="199"/>
      <c r="H43" s="199"/>
      <c r="I43" s="199"/>
      <c r="J43" s="199"/>
      <c r="K43" s="199"/>
      <c r="L43" s="199"/>
      <c r="M43" s="199"/>
      <c r="N43" s="199"/>
      <c r="O43" s="199"/>
      <c r="P43" s="17"/>
      <c r="Q43" s="17"/>
      <c r="R43" s="17"/>
      <c r="S43" s="17"/>
      <c r="T43" s="17"/>
      <c r="U43" s="504"/>
      <c r="V43" s="504"/>
      <c r="W43" s="504"/>
      <c r="X43" s="128"/>
      <c r="Y43" s="128"/>
      <c r="Z43" s="128"/>
      <c r="AA43" s="17"/>
      <c r="AB43" s="17"/>
      <c r="AC43" s="17"/>
      <c r="AD43" s="17"/>
      <c r="AE43" s="17"/>
      <c r="AF43" s="17"/>
      <c r="AG43" s="17"/>
      <c r="AH43" s="17"/>
    </row>
    <row r="44" spans="1:34" ht="21.75" customHeight="1">
      <c r="A44" s="199"/>
      <c r="B44" s="199"/>
      <c r="C44" s="199"/>
      <c r="D44" s="199"/>
      <c r="E44" s="199"/>
      <c r="F44" s="199"/>
      <c r="G44" s="199"/>
      <c r="H44" s="199"/>
      <c r="I44" s="199"/>
      <c r="J44" s="199"/>
      <c r="K44" s="199"/>
      <c r="L44" s="199"/>
      <c r="M44" s="199"/>
      <c r="N44" s="199"/>
      <c r="O44" s="199"/>
      <c r="P44" s="17"/>
      <c r="Q44" s="17"/>
      <c r="R44" s="17"/>
      <c r="S44" s="17"/>
      <c r="T44" s="17"/>
      <c r="U44" s="504"/>
      <c r="V44" s="504"/>
      <c r="W44" s="504"/>
      <c r="X44" s="17"/>
      <c r="Y44" s="17"/>
      <c r="Z44" s="17"/>
      <c r="AA44" s="17"/>
      <c r="AB44" s="17"/>
      <c r="AC44" s="17"/>
      <c r="AD44" s="17"/>
      <c r="AE44" s="17"/>
      <c r="AF44" s="17"/>
      <c r="AG44" s="17"/>
      <c r="AH44" s="17"/>
    </row>
    <row r="45" spans="1:34" ht="21.75" customHeight="1">
      <c r="A45" s="199"/>
      <c r="B45" s="199"/>
      <c r="C45" s="199"/>
      <c r="D45" s="199"/>
      <c r="E45" s="199"/>
      <c r="F45" s="199"/>
      <c r="G45" s="199"/>
      <c r="H45" s="199"/>
      <c r="I45" s="199"/>
      <c r="J45" s="199"/>
      <c r="K45" s="199"/>
      <c r="L45" s="199"/>
      <c r="M45" s="199"/>
      <c r="N45" s="199"/>
      <c r="O45" s="199"/>
      <c r="P45" s="17"/>
      <c r="Q45" s="17"/>
      <c r="R45" s="17"/>
      <c r="S45" s="17"/>
      <c r="T45" s="17"/>
      <c r="U45" s="504"/>
      <c r="V45" s="504"/>
      <c r="W45" s="504"/>
      <c r="X45" s="128"/>
      <c r="Y45" s="128"/>
      <c r="Z45" s="128"/>
      <c r="AA45" s="17"/>
      <c r="AB45" s="17"/>
      <c r="AC45" s="17"/>
      <c r="AD45" s="17"/>
      <c r="AE45" s="17"/>
      <c r="AF45" s="17"/>
      <c r="AG45" s="17"/>
      <c r="AH45" s="17"/>
    </row>
    <row r="46" spans="1:34" ht="21.75" customHeight="1">
      <c r="A46" s="199"/>
      <c r="B46" s="199"/>
      <c r="C46" s="199"/>
      <c r="D46" s="199"/>
      <c r="E46" s="199"/>
      <c r="F46" s="199"/>
      <c r="G46" s="199"/>
      <c r="H46" s="199"/>
      <c r="I46" s="199"/>
      <c r="J46" s="199"/>
      <c r="K46" s="199"/>
      <c r="L46" s="199"/>
      <c r="M46" s="199"/>
      <c r="N46" s="199"/>
      <c r="O46" s="199"/>
      <c r="P46" s="17"/>
      <c r="Q46" s="17"/>
      <c r="R46" s="17"/>
      <c r="S46" s="17"/>
      <c r="T46" s="17"/>
      <c r="U46" s="504"/>
      <c r="V46" s="504"/>
      <c r="W46" s="504"/>
      <c r="X46" s="17"/>
      <c r="Y46" s="17"/>
      <c r="Z46" s="17"/>
      <c r="AA46" s="17"/>
      <c r="AB46" s="17"/>
      <c r="AC46" s="17"/>
      <c r="AD46" s="17"/>
      <c r="AE46" s="17"/>
      <c r="AF46" s="17"/>
      <c r="AG46" s="17"/>
      <c r="AH46" s="17"/>
    </row>
    <row r="47" ht="22.5" customHeight="1" hidden="1"/>
    <row r="48" ht="15.75" customHeight="1" hidden="1"/>
    <row r="49" ht="15.75" customHeight="1" hidden="1"/>
    <row r="50" ht="15.75" customHeight="1" hidden="1"/>
    <row r="51" ht="15.75" customHeight="1" hidden="1"/>
    <row r="52" ht="15.75" customHeight="1" hidden="1"/>
    <row r="53" ht="15.75" customHeight="1" hidden="1"/>
    <row r="54" ht="15.75" customHeight="1" hidden="1"/>
    <row r="55" ht="15.75" customHeight="1" hidden="1"/>
    <row r="56" ht="15.75" customHeight="1" hidden="1"/>
    <row r="57" ht="15.75" customHeight="1" hidden="1"/>
    <row r="58" ht="15.75" customHeight="1" hidden="1"/>
    <row r="59" ht="15.75" customHeight="1" hidden="1"/>
    <row r="60" ht="15.75" customHeight="1" hidden="1"/>
    <row r="61" ht="15.75" customHeight="1" hidden="1"/>
    <row r="62" ht="15.75" customHeight="1" hidden="1"/>
    <row r="63" ht="15.75" customHeight="1" hidden="1"/>
    <row r="64" ht="15.75" customHeight="1" hidden="1"/>
    <row r="65" ht="15.75" customHeight="1" hidden="1"/>
    <row r="66" ht="15.75" customHeight="1" hidden="1"/>
    <row r="67" ht="15" customHeight="1"/>
  </sheetData>
  <sheetProtection password="DFA2" sheet="1" objects="1" scenarios="1"/>
  <mergeCells count="59">
    <mergeCell ref="A39:G39"/>
    <mergeCell ref="K39:L40"/>
    <mergeCell ref="H40:I40"/>
    <mergeCell ref="U42:U46"/>
    <mergeCell ref="V42:V46"/>
    <mergeCell ref="W42:W46"/>
    <mergeCell ref="A34:D36"/>
    <mergeCell ref="E34:G34"/>
    <mergeCell ref="N34:N37"/>
    <mergeCell ref="O34:O37"/>
    <mergeCell ref="E35:G35"/>
    <mergeCell ref="E36:G36"/>
    <mergeCell ref="A37:D38"/>
    <mergeCell ref="E37:G37"/>
    <mergeCell ref="E38:G38"/>
    <mergeCell ref="A29:G29"/>
    <mergeCell ref="A30:D32"/>
    <mergeCell ref="E30:G30"/>
    <mergeCell ref="E31:G31"/>
    <mergeCell ref="E32:G32"/>
    <mergeCell ref="A33:G33"/>
    <mergeCell ref="P24:Q24"/>
    <mergeCell ref="A25:G25"/>
    <mergeCell ref="A26:D28"/>
    <mergeCell ref="E26:G26"/>
    <mergeCell ref="E27:G27"/>
    <mergeCell ref="E28:G28"/>
    <mergeCell ref="A18:B18"/>
    <mergeCell ref="A19:B19"/>
    <mergeCell ref="H20:I20"/>
    <mergeCell ref="A21:G21"/>
    <mergeCell ref="A23:I23"/>
    <mergeCell ref="A24:G24"/>
    <mergeCell ref="A13:I13"/>
    <mergeCell ref="A14:F14"/>
    <mergeCell ref="H14:I14"/>
    <mergeCell ref="A15:B15"/>
    <mergeCell ref="E15:F19"/>
    <mergeCell ref="H15:I15"/>
    <mergeCell ref="A16:B16"/>
    <mergeCell ref="G16:G19"/>
    <mergeCell ref="H16:I19"/>
    <mergeCell ref="A17:B17"/>
    <mergeCell ref="A7:I7"/>
    <mergeCell ref="A8:I8"/>
    <mergeCell ref="A11:I11"/>
    <mergeCell ref="A12:I12"/>
    <mergeCell ref="A4:A5"/>
    <mergeCell ref="B4:B5"/>
    <mergeCell ref="C4:C5"/>
    <mergeCell ref="D4:D5"/>
    <mergeCell ref="E4:E5"/>
    <mergeCell ref="F4:F5"/>
    <mergeCell ref="A1:I1"/>
    <mergeCell ref="B2:C2"/>
    <mergeCell ref="E2:H2"/>
    <mergeCell ref="A3:I3"/>
    <mergeCell ref="G4:H4"/>
    <mergeCell ref="I4:I5"/>
  </mergeCells>
  <conditionalFormatting sqref="K39:L40">
    <cfRule type="expression" priority="4" dxfId="3" stopIfTrue="1">
      <formula>IF($K$39&lt;&gt;"",1,0)</formula>
    </cfRule>
  </conditionalFormatting>
  <conditionalFormatting sqref="A11:I11">
    <cfRule type="expression" priority="3" dxfId="2" stopIfTrue="1">
      <formula>IF($A$11&lt;&gt;"",1,0)</formula>
    </cfRule>
  </conditionalFormatting>
  <conditionalFormatting sqref="A13:I13">
    <cfRule type="expression" priority="2" dxfId="1" stopIfTrue="1">
      <formula>IF($A$13&lt;&gt;"",1,0)</formula>
    </cfRule>
  </conditionalFormatting>
  <conditionalFormatting sqref="A12:I12">
    <cfRule type="expression" priority="1" dxfId="0" stopIfTrue="1">
      <formula>IF($I$10=$I$36,1,0)</formula>
    </cfRule>
  </conditionalFormatting>
  <dataValidations count="1">
    <dataValidation type="list" showInputMessage="1" showErrorMessage="1" sqref="A10">
      <formula1>$R$23:$R$26</formula1>
    </dataValidation>
  </dataValidations>
  <printOptions/>
  <pageMargins left="0.32" right="0.22" top="0.33" bottom="0.75" header="0.3" footer="0.3"/>
  <pageSetup fitToHeight="1" fitToWidth="1" horizontalDpi="600" verticalDpi="600" orientation="portrait" paperSize="9" scale="62" r:id="rId4"/>
  <colBreaks count="1" manualBreakCount="1">
    <brk id="9" max="65535"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41"/>
  <sheetViews>
    <sheetView zoomScalePageLayoutView="0" workbookViewId="0" topLeftCell="A1">
      <selection activeCell="G5" sqref="G5"/>
    </sheetView>
  </sheetViews>
  <sheetFormatPr defaultColWidth="0" defaultRowHeight="12.75" zeroHeight="1"/>
  <cols>
    <col min="1" max="1" width="6.00390625" style="217" customWidth="1"/>
    <col min="2" max="8" width="9.140625" style="217" customWidth="1"/>
    <col min="9" max="9" width="9.7109375" style="217" customWidth="1"/>
    <col min="10" max="14" width="9.140625" style="217" customWidth="1"/>
    <col min="15" max="16384" width="0" style="217" hidden="1" customWidth="1"/>
  </cols>
  <sheetData>
    <row r="1" spans="1:2" ht="25.5" customHeight="1">
      <c r="A1" s="252" t="s">
        <v>171</v>
      </c>
      <c r="B1" s="251"/>
    </row>
    <row r="2" spans="2:13" ht="24" customHeight="1">
      <c r="B2" s="528" t="s">
        <v>169</v>
      </c>
      <c r="C2" s="528"/>
      <c r="D2" s="528"/>
      <c r="E2" s="528"/>
      <c r="F2" s="528"/>
      <c r="G2" s="528"/>
      <c r="H2" s="528"/>
      <c r="I2" s="528"/>
      <c r="J2" s="528"/>
      <c r="K2" s="528"/>
      <c r="L2" s="528"/>
      <c r="M2" s="528"/>
    </row>
    <row r="3" spans="2:13" ht="15.75" customHeight="1">
      <c r="B3" s="506" t="s">
        <v>151</v>
      </c>
      <c r="C3" s="506"/>
      <c r="D3" s="506"/>
      <c r="E3" s="506"/>
      <c r="F3" s="508" t="str">
        <f>'Tính toán ĐC SMRM - Sơ bộ'!E4</f>
        <v>29H-XXXX</v>
      </c>
      <c r="G3" s="508"/>
      <c r="H3" s="506" t="str">
        <f>'Tính toán ĐC SMRM - Sơ bộ'!$G$4</f>
        <v>Số khung: </v>
      </c>
      <c r="I3" s="506"/>
      <c r="J3" s="507" t="str">
        <f>'Tính toán ĐC SMRM - Sơ bộ'!H4</f>
        <v>LGA…</v>
      </c>
      <c r="K3" s="507"/>
      <c r="L3" s="507"/>
      <c r="M3" s="507"/>
    </row>
    <row r="4" spans="2:13" ht="12.75">
      <c r="B4" s="218"/>
      <c r="C4" s="219"/>
      <c r="D4" s="219"/>
      <c r="E4" s="219"/>
      <c r="F4" s="219"/>
      <c r="G4" s="219"/>
      <c r="H4" s="220"/>
      <c r="I4" s="220"/>
      <c r="J4" s="220"/>
      <c r="K4" s="220"/>
      <c r="L4" s="220"/>
      <c r="M4" s="220"/>
    </row>
    <row r="5" ht="12.75">
      <c r="E5" s="221">
        <f>'Tính toán ĐC SMRM - Sơ bộ'!$F$9+'Tính toán ĐC SMRM - Sơ bộ'!M9+'Tính toán ĐC SMRM - Sơ bộ'!N9</f>
        <v>12700</v>
      </c>
    </row>
    <row r="6" spans="10:13" ht="12.75">
      <c r="J6" s="527"/>
      <c r="K6" s="527"/>
      <c r="L6" s="527"/>
      <c r="M6" s="527"/>
    </row>
    <row r="7" ht="12.75">
      <c r="F7" s="222" t="s">
        <v>144</v>
      </c>
    </row>
    <row r="8" ht="12.75">
      <c r="F8" s="221">
        <f>'Tính toán ĐC SMRM - Sơ bộ'!$D$29</f>
        <v>4790</v>
      </c>
    </row>
    <row r="9" ht="12.75"/>
    <row r="10" spans="10:13" ht="12.75">
      <c r="J10" s="513" t="s">
        <v>145</v>
      </c>
      <c r="K10" s="513"/>
      <c r="L10" s="513"/>
      <c r="M10" s="513"/>
    </row>
    <row r="11" spans="10:13" ht="12.75">
      <c r="J11" s="511"/>
      <c r="K11" s="511"/>
      <c r="L11" s="511"/>
      <c r="M11" s="511"/>
    </row>
    <row r="12" spans="10:13" ht="12.75">
      <c r="J12" s="509" t="s">
        <v>146</v>
      </c>
      <c r="K12" s="510"/>
      <c r="L12" s="530" t="str">
        <f>CONCATENATE(E5," x          "," x")</f>
        <v>12700 x           x</v>
      </c>
      <c r="M12" s="531"/>
    </row>
    <row r="13" spans="10:13" ht="12.75">
      <c r="J13" s="509" t="s">
        <v>35</v>
      </c>
      <c r="K13" s="510"/>
      <c r="L13" s="512" t="str">
        <f>'Tính toán ĐC SMRM - Sơ bộ'!C30</f>
        <v>9420 + 1310</v>
      </c>
      <c r="M13" s="513"/>
    </row>
    <row r="14" spans="10:13" ht="12.75">
      <c r="J14" s="509" t="s">
        <v>153</v>
      </c>
      <c r="K14" s="510"/>
      <c r="L14" s="505"/>
      <c r="M14" s="505"/>
    </row>
    <row r="15" spans="10:13" ht="12.75">
      <c r="J15" s="509" t="s">
        <v>0</v>
      </c>
      <c r="K15" s="510"/>
      <c r="L15" s="223">
        <f>'Tính toán Kiểm tra chi tiết'!C15</f>
        <v>3560</v>
      </c>
      <c r="M15" s="224" t="s">
        <v>1</v>
      </c>
    </row>
    <row r="16" spans="10:13" ht="60">
      <c r="J16" s="529" t="s">
        <v>147</v>
      </c>
      <c r="K16" s="529"/>
      <c r="L16" s="514">
        <f>'Tính toán Kiểm tra chi tiết'!C16</f>
        <v>30000</v>
      </c>
      <c r="M16" s="516" t="s">
        <v>1</v>
      </c>
    </row>
    <row r="17" spans="10:13" ht="12.75" customHeight="1">
      <c r="J17" s="529"/>
      <c r="K17" s="529"/>
      <c r="L17" s="515"/>
      <c r="M17" s="517"/>
    </row>
    <row r="18" spans="10:13" ht="60">
      <c r="J18" s="529" t="s">
        <v>148</v>
      </c>
      <c r="K18" s="529"/>
      <c r="L18" s="514">
        <f>'Tính toán Kiểm tra chi tiết'!C17</f>
        <v>29490</v>
      </c>
      <c r="M18" s="516" t="s">
        <v>1</v>
      </c>
    </row>
    <row r="19" spans="10:13" ht="12.75">
      <c r="J19" s="529"/>
      <c r="K19" s="529"/>
      <c r="L19" s="515"/>
      <c r="M19" s="517"/>
    </row>
    <row r="20" spans="10:13" ht="36">
      <c r="J20" s="529" t="s">
        <v>149</v>
      </c>
      <c r="K20" s="529"/>
      <c r="L20" s="514">
        <f>'Tính toán Kiểm tra chi tiết'!C18</f>
        <v>33560</v>
      </c>
      <c r="M20" s="516" t="s">
        <v>1</v>
      </c>
    </row>
    <row r="21" spans="10:13" ht="12.75">
      <c r="J21" s="529"/>
      <c r="K21" s="529"/>
      <c r="L21" s="515"/>
      <c r="M21" s="517"/>
    </row>
    <row r="22" spans="1:13" ht="36">
      <c r="A22" s="286">
        <f>'Tính toán ĐC SMRM - Sơ bộ'!M9</f>
        <v>150</v>
      </c>
      <c r="B22" s="225" t="str">
        <f>CONCATENATE(" ",'Tính toán ĐC SMRM - Sơ bộ'!$E$29)</f>
        <v> 900</v>
      </c>
      <c r="D22" s="221">
        <f>'Tính toán ĐC SMRM - Sơ bộ'!I38</f>
        <v>9420</v>
      </c>
      <c r="G22" s="256">
        <f>'Tính toán ĐC SMRM - Sơ bộ'!J38</f>
        <v>1310</v>
      </c>
      <c r="H22" s="256">
        <f>'Tính toán ĐC SMRM - Sơ bộ'!K38</f>
      </c>
      <c r="I22" s="287">
        <f>'Tính toán ĐC SMRM - Sơ bộ'!N9</f>
        <v>150</v>
      </c>
      <c r="J22" s="529" t="s">
        <v>49</v>
      </c>
      <c r="K22" s="529"/>
      <c r="L22" s="514">
        <f>'Tính toán Kiểm tra chi tiết'!C19</f>
        <v>33050</v>
      </c>
      <c r="M22" s="516" t="s">
        <v>1</v>
      </c>
    </row>
    <row r="23" spans="10:13" ht="12.75">
      <c r="J23" s="529"/>
      <c r="K23" s="529"/>
      <c r="L23" s="515"/>
      <c r="M23" s="517"/>
    </row>
    <row r="24" spans="4:8" ht="12.75" customHeight="1">
      <c r="D24" s="221"/>
      <c r="H24" s="221">
        <f>'Tính toán ĐC SMRM - Sơ bộ'!$F$29</f>
        <v>1425</v>
      </c>
    </row>
    <row r="25" ht="12.75"/>
    <row r="26" ht="12.75"/>
    <row r="27" spans="2:13" ht="12.75" customHeight="1">
      <c r="B27" s="518" t="s">
        <v>178</v>
      </c>
      <c r="C27" s="519"/>
      <c r="D27" s="519"/>
      <c r="E27" s="519"/>
      <c r="F27" s="519"/>
      <c r="G27" s="520"/>
      <c r="H27" s="518" t="s">
        <v>179</v>
      </c>
      <c r="I27" s="519"/>
      <c r="J27" s="519"/>
      <c r="K27" s="519"/>
      <c r="L27" s="519"/>
      <c r="M27" s="520"/>
    </row>
    <row r="28" spans="2:13" ht="12.75">
      <c r="B28" s="521"/>
      <c r="C28" s="522"/>
      <c r="D28" s="522"/>
      <c r="E28" s="522"/>
      <c r="F28" s="522"/>
      <c r="G28" s="523"/>
      <c r="H28" s="521"/>
      <c r="I28" s="522"/>
      <c r="J28" s="522"/>
      <c r="K28" s="522"/>
      <c r="L28" s="522"/>
      <c r="M28" s="523"/>
    </row>
    <row r="29" spans="2:13" ht="12.75">
      <c r="B29" s="521"/>
      <c r="C29" s="522"/>
      <c r="D29" s="522"/>
      <c r="E29" s="522"/>
      <c r="F29" s="522"/>
      <c r="G29" s="523"/>
      <c r="H29" s="521"/>
      <c r="I29" s="522"/>
      <c r="J29" s="522"/>
      <c r="K29" s="522"/>
      <c r="L29" s="522"/>
      <c r="M29" s="523"/>
    </row>
    <row r="30" spans="2:13" ht="12.75">
      <c r="B30" s="521"/>
      <c r="C30" s="522"/>
      <c r="D30" s="522"/>
      <c r="E30" s="522"/>
      <c r="F30" s="522"/>
      <c r="G30" s="523"/>
      <c r="H30" s="521"/>
      <c r="I30" s="522"/>
      <c r="J30" s="522"/>
      <c r="K30" s="522"/>
      <c r="L30" s="522"/>
      <c r="M30" s="523"/>
    </row>
    <row r="31" spans="2:13" ht="12.75">
      <c r="B31" s="521"/>
      <c r="C31" s="522"/>
      <c r="D31" s="522"/>
      <c r="E31" s="522"/>
      <c r="F31" s="522"/>
      <c r="G31" s="523"/>
      <c r="H31" s="521"/>
      <c r="I31" s="522"/>
      <c r="J31" s="522"/>
      <c r="K31" s="522"/>
      <c r="L31" s="522"/>
      <c r="M31" s="523"/>
    </row>
    <row r="32" spans="2:13" ht="12.75">
      <c r="B32" s="521"/>
      <c r="C32" s="522"/>
      <c r="D32" s="522"/>
      <c r="E32" s="522"/>
      <c r="F32" s="522"/>
      <c r="G32" s="523"/>
      <c r="H32" s="521"/>
      <c r="I32" s="522"/>
      <c r="J32" s="522"/>
      <c r="K32" s="522"/>
      <c r="L32" s="522"/>
      <c r="M32" s="523"/>
    </row>
    <row r="33" spans="2:13" ht="12.75">
      <c r="B33" s="521"/>
      <c r="C33" s="522"/>
      <c r="D33" s="522"/>
      <c r="E33" s="522"/>
      <c r="F33" s="522"/>
      <c r="G33" s="523"/>
      <c r="H33" s="521"/>
      <c r="I33" s="522"/>
      <c r="J33" s="522"/>
      <c r="K33" s="522"/>
      <c r="L33" s="522"/>
      <c r="M33" s="523"/>
    </row>
    <row r="34" spans="2:13" ht="12.75">
      <c r="B34" s="521"/>
      <c r="C34" s="522"/>
      <c r="D34" s="522"/>
      <c r="E34" s="522"/>
      <c r="F34" s="522"/>
      <c r="G34" s="523"/>
      <c r="H34" s="521"/>
      <c r="I34" s="522"/>
      <c r="J34" s="522"/>
      <c r="K34" s="522"/>
      <c r="L34" s="522"/>
      <c r="M34" s="523"/>
    </row>
    <row r="35" spans="2:13" ht="12.75">
      <c r="B35" s="521"/>
      <c r="C35" s="522"/>
      <c r="D35" s="522"/>
      <c r="E35" s="522"/>
      <c r="F35" s="522"/>
      <c r="G35" s="523"/>
      <c r="H35" s="521"/>
      <c r="I35" s="522"/>
      <c r="J35" s="522"/>
      <c r="K35" s="522"/>
      <c r="L35" s="522"/>
      <c r="M35" s="523"/>
    </row>
    <row r="36" spans="2:13" ht="12.75">
      <c r="B36" s="521"/>
      <c r="C36" s="522"/>
      <c r="D36" s="522"/>
      <c r="E36" s="522"/>
      <c r="F36" s="522"/>
      <c r="G36" s="523"/>
      <c r="H36" s="521"/>
      <c r="I36" s="522"/>
      <c r="J36" s="522"/>
      <c r="K36" s="522"/>
      <c r="L36" s="522"/>
      <c r="M36" s="523"/>
    </row>
    <row r="37" spans="2:13" ht="12.75">
      <c r="B37" s="521"/>
      <c r="C37" s="522"/>
      <c r="D37" s="522"/>
      <c r="E37" s="522"/>
      <c r="F37" s="522"/>
      <c r="G37" s="523"/>
      <c r="H37" s="521"/>
      <c r="I37" s="522"/>
      <c r="J37" s="522"/>
      <c r="K37" s="522"/>
      <c r="L37" s="522"/>
      <c r="M37" s="523"/>
    </row>
    <row r="38" spans="2:13" ht="12.75">
      <c r="B38" s="521"/>
      <c r="C38" s="522"/>
      <c r="D38" s="522"/>
      <c r="E38" s="522"/>
      <c r="F38" s="522"/>
      <c r="G38" s="523"/>
      <c r="H38" s="521"/>
      <c r="I38" s="522"/>
      <c r="J38" s="522"/>
      <c r="K38" s="522"/>
      <c r="L38" s="522"/>
      <c r="M38" s="523"/>
    </row>
    <row r="39" spans="2:13" ht="12.75">
      <c r="B39" s="521"/>
      <c r="C39" s="522"/>
      <c r="D39" s="522"/>
      <c r="E39" s="522"/>
      <c r="F39" s="522"/>
      <c r="G39" s="523"/>
      <c r="H39" s="521"/>
      <c r="I39" s="522"/>
      <c r="J39" s="522"/>
      <c r="K39" s="522"/>
      <c r="L39" s="522"/>
      <c r="M39" s="523"/>
    </row>
    <row r="40" spans="2:13" ht="12.75">
      <c r="B40" s="524"/>
      <c r="C40" s="525"/>
      <c r="D40" s="525"/>
      <c r="E40" s="525"/>
      <c r="F40" s="525"/>
      <c r="G40" s="526"/>
      <c r="H40" s="524"/>
      <c r="I40" s="525"/>
      <c r="J40" s="525"/>
      <c r="K40" s="525"/>
      <c r="L40" s="525"/>
      <c r="M40" s="526"/>
    </row>
    <row r="41" ht="12.75">
      <c r="B41" s="250" t="s">
        <v>164</v>
      </c>
    </row>
    <row r="42" ht="12.75"/>
    <row r="43" ht="12.75"/>
  </sheetData>
  <sheetProtection/>
  <mergeCells count="29">
    <mergeCell ref="B27:G40"/>
    <mergeCell ref="H27:M40"/>
    <mergeCell ref="J6:M6"/>
    <mergeCell ref="J10:M10"/>
    <mergeCell ref="B2:M2"/>
    <mergeCell ref="J16:K17"/>
    <mergeCell ref="J18:K19"/>
    <mergeCell ref="J20:K21"/>
    <mergeCell ref="J22:K23"/>
    <mergeCell ref="L12:M12"/>
    <mergeCell ref="L22:L23"/>
    <mergeCell ref="M22:M23"/>
    <mergeCell ref="J14:K14"/>
    <mergeCell ref="J15:K15"/>
    <mergeCell ref="L16:L17"/>
    <mergeCell ref="M16:M17"/>
    <mergeCell ref="L18:L19"/>
    <mergeCell ref="M18:M19"/>
    <mergeCell ref="L20:L21"/>
    <mergeCell ref="M20:M21"/>
    <mergeCell ref="L14:M14"/>
    <mergeCell ref="H3:I3"/>
    <mergeCell ref="J3:M3"/>
    <mergeCell ref="B3:E3"/>
    <mergeCell ref="F3:G3"/>
    <mergeCell ref="J13:K13"/>
    <mergeCell ref="J12:K12"/>
    <mergeCell ref="J11:M11"/>
    <mergeCell ref="L13:M13"/>
  </mergeCells>
  <printOptions horizontalCentered="1" verticalCentered="1"/>
  <pageMargins left="0.7" right="0.7" top="0.1" bottom="0.1" header="0.3" footer="0.3"/>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M41"/>
  <sheetViews>
    <sheetView workbookViewId="0" topLeftCell="A1">
      <selection activeCell="M18" sqref="M18:M19"/>
    </sheetView>
  </sheetViews>
  <sheetFormatPr defaultColWidth="0" defaultRowHeight="12.75" customHeight="1" zeroHeight="1"/>
  <cols>
    <col min="1" max="1" width="6.00390625" style="217" customWidth="1"/>
    <col min="2" max="8" width="9.140625" style="217" customWidth="1"/>
    <col min="9" max="9" width="9.8515625" style="217" customWidth="1"/>
    <col min="10" max="14" width="9.140625" style="217" customWidth="1"/>
    <col min="15" max="16384" width="0" style="217" hidden="1" customWidth="1"/>
  </cols>
  <sheetData>
    <row r="1" spans="1:2" ht="25.5" customHeight="1">
      <c r="A1" s="252" t="s">
        <v>171</v>
      </c>
      <c r="B1" s="251"/>
    </row>
    <row r="2" spans="2:13" ht="24" customHeight="1">
      <c r="B2" s="528" t="s">
        <v>169</v>
      </c>
      <c r="C2" s="528"/>
      <c r="D2" s="528"/>
      <c r="E2" s="528"/>
      <c r="F2" s="528"/>
      <c r="G2" s="528"/>
      <c r="H2" s="528"/>
      <c r="I2" s="528"/>
      <c r="J2" s="528"/>
      <c r="K2" s="528"/>
      <c r="L2" s="528"/>
      <c r="M2" s="528"/>
    </row>
    <row r="3" spans="2:13" ht="15.75" customHeight="1">
      <c r="B3" s="506" t="s">
        <v>151</v>
      </c>
      <c r="C3" s="506"/>
      <c r="D3" s="506"/>
      <c r="E3" s="506"/>
      <c r="F3" s="508" t="str">
        <f>'Tính toán ĐC SMRM - Sơ bộ'!E4</f>
        <v>29H-XXXX</v>
      </c>
      <c r="G3" s="508"/>
      <c r="H3" s="506" t="str">
        <f>'Tính toán ĐC SMRM - Sơ bộ'!$G$4</f>
        <v>Số khung: </v>
      </c>
      <c r="I3" s="506"/>
      <c r="J3" s="507" t="str">
        <f>'Tính toán ĐC SMRM - Sơ bộ'!H4</f>
        <v>LGA…</v>
      </c>
      <c r="K3" s="507"/>
      <c r="L3" s="507"/>
      <c r="M3" s="507"/>
    </row>
    <row r="4" spans="2:13" ht="12.75">
      <c r="B4" s="218"/>
      <c r="C4" s="219"/>
      <c r="D4" s="219"/>
      <c r="E4" s="219"/>
      <c r="F4" s="219"/>
      <c r="G4" s="219"/>
      <c r="H4" s="220"/>
      <c r="I4" s="220"/>
      <c r="J4" s="220"/>
      <c r="K4" s="220"/>
      <c r="L4" s="220"/>
      <c r="M4" s="220"/>
    </row>
    <row r="5" ht="12.75">
      <c r="E5" s="221">
        <f>'Tính toán ĐC SMRM - Sơ bộ'!$F$9+'Tính toán ĐC SMRM - Sơ bộ'!M9+'Tính toán ĐC SMRM - Sơ bộ'!N9</f>
        <v>12700</v>
      </c>
    </row>
    <row r="6" spans="10:13" ht="12.75">
      <c r="J6" s="527"/>
      <c r="K6" s="527"/>
      <c r="L6" s="527"/>
      <c r="M6" s="527"/>
    </row>
    <row r="7" ht="12.75">
      <c r="F7" s="222" t="s">
        <v>144</v>
      </c>
    </row>
    <row r="8" ht="12.75">
      <c r="F8" s="221">
        <f>'Tính toán ĐC SMRM - Sơ bộ'!$D$29</f>
        <v>4790</v>
      </c>
    </row>
    <row r="9" ht="12.75"/>
    <row r="10" spans="10:13" ht="12.75">
      <c r="J10" s="513" t="s">
        <v>145</v>
      </c>
      <c r="K10" s="513"/>
      <c r="L10" s="513"/>
      <c r="M10" s="513"/>
    </row>
    <row r="11" spans="10:13" ht="12.75">
      <c r="J11" s="511"/>
      <c r="K11" s="511"/>
      <c r="L11" s="511"/>
      <c r="M11" s="511"/>
    </row>
    <row r="12" spans="10:13" ht="12.75">
      <c r="J12" s="509" t="s">
        <v>146</v>
      </c>
      <c r="K12" s="510"/>
      <c r="L12" s="530" t="str">
        <f>CONCATENATE(E5," x          "," x")</f>
        <v>12700 x           x</v>
      </c>
      <c r="M12" s="531"/>
    </row>
    <row r="13" spans="10:13" ht="12.75">
      <c r="J13" s="509" t="s">
        <v>35</v>
      </c>
      <c r="K13" s="510"/>
      <c r="L13" s="512" t="str">
        <f>'Tính toán ĐC SMRM - Sơ bộ'!C30</f>
        <v>9420 + 1310</v>
      </c>
      <c r="M13" s="513"/>
    </row>
    <row r="14" spans="10:13" ht="12.75">
      <c r="J14" s="509" t="s">
        <v>153</v>
      </c>
      <c r="K14" s="510"/>
      <c r="L14" s="505"/>
      <c r="M14" s="505"/>
    </row>
    <row r="15" spans="10:13" ht="12.75">
      <c r="J15" s="509" t="s">
        <v>0</v>
      </c>
      <c r="K15" s="510"/>
      <c r="L15" s="223">
        <f>'Tính toán Kiểm tra chi tiết'!C15</f>
        <v>3560</v>
      </c>
      <c r="M15" s="224" t="s">
        <v>1</v>
      </c>
    </row>
    <row r="16" spans="10:13" ht="60">
      <c r="J16" s="529" t="s">
        <v>147</v>
      </c>
      <c r="K16" s="529"/>
      <c r="L16" s="514">
        <f>'Tính toán Kiểm tra chi tiết'!C16</f>
        <v>30000</v>
      </c>
      <c r="M16" s="516" t="s">
        <v>1</v>
      </c>
    </row>
    <row r="17" spans="10:13" ht="12.75" customHeight="1">
      <c r="J17" s="529"/>
      <c r="K17" s="529"/>
      <c r="L17" s="515"/>
      <c r="M17" s="517"/>
    </row>
    <row r="18" spans="10:13" ht="60">
      <c r="J18" s="529" t="s">
        <v>148</v>
      </c>
      <c r="K18" s="529"/>
      <c r="L18" s="514">
        <f>'Tính toán Kiểm tra chi tiết'!C17</f>
        <v>29490</v>
      </c>
      <c r="M18" s="516" t="s">
        <v>1</v>
      </c>
    </row>
    <row r="19" spans="10:13" ht="12.75">
      <c r="J19" s="529"/>
      <c r="K19" s="529"/>
      <c r="L19" s="515"/>
      <c r="M19" s="517"/>
    </row>
    <row r="20" spans="10:13" ht="36">
      <c r="J20" s="529" t="s">
        <v>149</v>
      </c>
      <c r="K20" s="529"/>
      <c r="L20" s="514">
        <f>'Tính toán Kiểm tra chi tiết'!C18</f>
        <v>33560</v>
      </c>
      <c r="M20" s="516" t="s">
        <v>1</v>
      </c>
    </row>
    <row r="21" spans="10:13" ht="12.75">
      <c r="J21" s="529"/>
      <c r="K21" s="529"/>
      <c r="L21" s="515"/>
      <c r="M21" s="517"/>
    </row>
    <row r="22" spans="1:13" ht="36">
      <c r="A22" s="286">
        <f>'Tính toán ĐC SMRM - Sơ bộ'!M9</f>
        <v>150</v>
      </c>
      <c r="B22" s="225" t="str">
        <f>CONCATENATE(" ",'Tính toán ĐC SMRM - Sơ bộ'!$E$29)</f>
        <v> 900</v>
      </c>
      <c r="D22" s="221">
        <f>'Tính toán ĐC SMRM - Sơ bộ'!I38</f>
        <v>9420</v>
      </c>
      <c r="G22" s="257">
        <f>'Tính toán ĐC SMRM - Sơ bộ'!J38</f>
        <v>1310</v>
      </c>
      <c r="I22" s="288">
        <f>'Tính toán ĐC SMRM - Sơ bộ'!N9</f>
        <v>150</v>
      </c>
      <c r="J22" s="529" t="s">
        <v>49</v>
      </c>
      <c r="K22" s="529"/>
      <c r="L22" s="514">
        <f>'Tính toán Kiểm tra chi tiết'!C19</f>
        <v>33050</v>
      </c>
      <c r="M22" s="516" t="s">
        <v>1</v>
      </c>
    </row>
    <row r="23" spans="10:13" ht="12.75">
      <c r="J23" s="529"/>
      <c r="K23" s="529"/>
      <c r="L23" s="534"/>
      <c r="M23" s="517"/>
    </row>
    <row r="24" spans="4:11" ht="12.75" customHeight="1">
      <c r="D24" s="221"/>
      <c r="H24" s="221">
        <f>'Tính toán ĐC SMRM - Sơ bộ'!$F$29</f>
        <v>1425</v>
      </c>
      <c r="J24" s="532"/>
      <c r="K24" s="533"/>
    </row>
    <row r="25" ht="12.75"/>
    <row r="26" ht="12.75"/>
    <row r="27" spans="2:13" ht="12.75">
      <c r="B27" s="518" t="s">
        <v>178</v>
      </c>
      <c r="C27" s="519"/>
      <c r="D27" s="519"/>
      <c r="E27" s="519"/>
      <c r="F27" s="519"/>
      <c r="G27" s="520"/>
      <c r="H27" s="518" t="s">
        <v>179</v>
      </c>
      <c r="I27" s="519"/>
      <c r="J27" s="519"/>
      <c r="K27" s="519"/>
      <c r="L27" s="519"/>
      <c r="M27" s="520"/>
    </row>
    <row r="28" spans="2:13" ht="12.75">
      <c r="B28" s="521"/>
      <c r="C28" s="522"/>
      <c r="D28" s="522"/>
      <c r="E28" s="522"/>
      <c r="F28" s="522"/>
      <c r="G28" s="523"/>
      <c r="H28" s="521"/>
      <c r="I28" s="522"/>
      <c r="J28" s="522"/>
      <c r="K28" s="522"/>
      <c r="L28" s="522"/>
      <c r="M28" s="523"/>
    </row>
    <row r="29" spans="2:13" ht="12.75">
      <c r="B29" s="521"/>
      <c r="C29" s="522"/>
      <c r="D29" s="522"/>
      <c r="E29" s="522"/>
      <c r="F29" s="522"/>
      <c r="G29" s="523"/>
      <c r="H29" s="521"/>
      <c r="I29" s="522"/>
      <c r="J29" s="522"/>
      <c r="K29" s="522"/>
      <c r="L29" s="522"/>
      <c r="M29" s="523"/>
    </row>
    <row r="30" spans="2:13" ht="12.75">
      <c r="B30" s="521"/>
      <c r="C30" s="522"/>
      <c r="D30" s="522"/>
      <c r="E30" s="522"/>
      <c r="F30" s="522"/>
      <c r="G30" s="523"/>
      <c r="H30" s="521"/>
      <c r="I30" s="522"/>
      <c r="J30" s="522"/>
      <c r="K30" s="522"/>
      <c r="L30" s="522"/>
      <c r="M30" s="523"/>
    </row>
    <row r="31" spans="2:13" ht="12.75">
      <c r="B31" s="521"/>
      <c r="C31" s="522"/>
      <c r="D31" s="522"/>
      <c r="E31" s="522"/>
      <c r="F31" s="522"/>
      <c r="G31" s="523"/>
      <c r="H31" s="521"/>
      <c r="I31" s="522"/>
      <c r="J31" s="522"/>
      <c r="K31" s="522"/>
      <c r="L31" s="522"/>
      <c r="M31" s="523"/>
    </row>
    <row r="32" spans="2:13" ht="12.75">
      <c r="B32" s="521"/>
      <c r="C32" s="522"/>
      <c r="D32" s="522"/>
      <c r="E32" s="522"/>
      <c r="F32" s="522"/>
      <c r="G32" s="523"/>
      <c r="H32" s="521"/>
      <c r="I32" s="522"/>
      <c r="J32" s="522"/>
      <c r="K32" s="522"/>
      <c r="L32" s="522"/>
      <c r="M32" s="523"/>
    </row>
    <row r="33" spans="2:13" ht="12.75">
      <c r="B33" s="521"/>
      <c r="C33" s="522"/>
      <c r="D33" s="522"/>
      <c r="E33" s="522"/>
      <c r="F33" s="522"/>
      <c r="G33" s="523"/>
      <c r="H33" s="521"/>
      <c r="I33" s="522"/>
      <c r="J33" s="522"/>
      <c r="K33" s="522"/>
      <c r="L33" s="522"/>
      <c r="M33" s="523"/>
    </row>
    <row r="34" spans="2:13" ht="12.75">
      <c r="B34" s="521"/>
      <c r="C34" s="522"/>
      <c r="D34" s="522"/>
      <c r="E34" s="522"/>
      <c r="F34" s="522"/>
      <c r="G34" s="523"/>
      <c r="H34" s="521"/>
      <c r="I34" s="522"/>
      <c r="J34" s="522"/>
      <c r="K34" s="522"/>
      <c r="L34" s="522"/>
      <c r="M34" s="523"/>
    </row>
    <row r="35" spans="2:13" ht="12.75">
      <c r="B35" s="521"/>
      <c r="C35" s="522"/>
      <c r="D35" s="522"/>
      <c r="E35" s="522"/>
      <c r="F35" s="522"/>
      <c r="G35" s="523"/>
      <c r="H35" s="521"/>
      <c r="I35" s="522"/>
      <c r="J35" s="522"/>
      <c r="K35" s="522"/>
      <c r="L35" s="522"/>
      <c r="M35" s="523"/>
    </row>
    <row r="36" spans="2:13" ht="12.75">
      <c r="B36" s="521"/>
      <c r="C36" s="522"/>
      <c r="D36" s="522"/>
      <c r="E36" s="522"/>
      <c r="F36" s="522"/>
      <c r="G36" s="523"/>
      <c r="H36" s="521"/>
      <c r="I36" s="522"/>
      <c r="J36" s="522"/>
      <c r="K36" s="522"/>
      <c r="L36" s="522"/>
      <c r="M36" s="523"/>
    </row>
    <row r="37" spans="2:13" ht="12.75">
      <c r="B37" s="521"/>
      <c r="C37" s="522"/>
      <c r="D37" s="522"/>
      <c r="E37" s="522"/>
      <c r="F37" s="522"/>
      <c r="G37" s="523"/>
      <c r="H37" s="521"/>
      <c r="I37" s="522"/>
      <c r="J37" s="522"/>
      <c r="K37" s="522"/>
      <c r="L37" s="522"/>
      <c r="M37" s="523"/>
    </row>
    <row r="38" spans="2:13" ht="12.75">
      <c r="B38" s="521"/>
      <c r="C38" s="522"/>
      <c r="D38" s="522"/>
      <c r="E38" s="522"/>
      <c r="F38" s="522"/>
      <c r="G38" s="523"/>
      <c r="H38" s="521"/>
      <c r="I38" s="522"/>
      <c r="J38" s="522"/>
      <c r="K38" s="522"/>
      <c r="L38" s="522"/>
      <c r="M38" s="523"/>
    </row>
    <row r="39" spans="2:13" ht="12.75">
      <c r="B39" s="521"/>
      <c r="C39" s="522"/>
      <c r="D39" s="522"/>
      <c r="E39" s="522"/>
      <c r="F39" s="522"/>
      <c r="G39" s="523"/>
      <c r="H39" s="521"/>
      <c r="I39" s="522"/>
      <c r="J39" s="522"/>
      <c r="K39" s="522"/>
      <c r="L39" s="522"/>
      <c r="M39" s="523"/>
    </row>
    <row r="40" spans="2:13" ht="12.75">
      <c r="B40" s="524"/>
      <c r="C40" s="525"/>
      <c r="D40" s="525"/>
      <c r="E40" s="525"/>
      <c r="F40" s="525"/>
      <c r="G40" s="526"/>
      <c r="H40" s="524"/>
      <c r="I40" s="525"/>
      <c r="J40" s="525"/>
      <c r="K40" s="525"/>
      <c r="L40" s="525"/>
      <c r="M40" s="526"/>
    </row>
    <row r="41" ht="12.75">
      <c r="B41" s="250" t="s">
        <v>164</v>
      </c>
    </row>
    <row r="42" ht="12.75"/>
    <row r="43" ht="12.75"/>
  </sheetData>
  <sheetProtection/>
  <mergeCells count="30">
    <mergeCell ref="J24:K24"/>
    <mergeCell ref="J22:K23"/>
    <mergeCell ref="L22:L23"/>
    <mergeCell ref="M22:M23"/>
    <mergeCell ref="B27:G40"/>
    <mergeCell ref="H27:M40"/>
    <mergeCell ref="J18:K19"/>
    <mergeCell ref="L18:L19"/>
    <mergeCell ref="M18:M19"/>
    <mergeCell ref="J20:K21"/>
    <mergeCell ref="L20:L21"/>
    <mergeCell ref="M20:M21"/>
    <mergeCell ref="J14:K14"/>
    <mergeCell ref="L14:M14"/>
    <mergeCell ref="J15:K15"/>
    <mergeCell ref="J16:K17"/>
    <mergeCell ref="L16:L17"/>
    <mergeCell ref="M16:M17"/>
    <mergeCell ref="J10:M10"/>
    <mergeCell ref="J11:M11"/>
    <mergeCell ref="J12:K12"/>
    <mergeCell ref="L12:M12"/>
    <mergeCell ref="J13:K13"/>
    <mergeCell ref="L13:M13"/>
    <mergeCell ref="B2:M2"/>
    <mergeCell ref="B3:E3"/>
    <mergeCell ref="F3:G3"/>
    <mergeCell ref="H3:I3"/>
    <mergeCell ref="J3:M3"/>
    <mergeCell ref="J6:M6"/>
  </mergeCells>
  <printOptions horizontalCentered="1" verticalCentered="1"/>
  <pageMargins left="0.7" right="0.7" top="0.34" bottom="0.3" header="0.23" footer="0.16"/>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dc:creator>
  <cp:keywords/>
  <dc:description/>
  <cp:lastModifiedBy>DELL</cp:lastModifiedBy>
  <cp:lastPrinted>2014-10-14T09:17:41Z</cp:lastPrinted>
  <dcterms:created xsi:type="dcterms:W3CDTF">2014-02-25T07:50:12Z</dcterms:created>
  <dcterms:modified xsi:type="dcterms:W3CDTF">2014-10-28T06:55:42Z</dcterms:modified>
  <cp:category/>
  <cp:version/>
  <cp:contentType/>
  <cp:contentStatus/>
</cp:coreProperties>
</file>