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995" windowHeight="8850" tabRatio="750" activeTab="0"/>
  </bookViews>
  <sheets>
    <sheet name="Tính toán ĐC SMRM - Sơ bộ" sheetId="1" r:id="rId1"/>
    <sheet name="Tính toán Kiểm tra chi tiết" sheetId="2" r:id="rId2"/>
    <sheet name="Bản vẽ nghiệm thu (3 trục)" sheetId="3" r:id="rId3"/>
    <sheet name="Bản vẽ nghiệm thu (2 trục)" sheetId="4" r:id="rId4"/>
  </sheets>
  <definedNames>
    <definedName name="_xlnm.Print_Area" localSheetId="3">'Bản vẽ nghiệm thu (2 trục)'!$A$1:$M$42</definedName>
    <definedName name="_xlnm.Print_Area" localSheetId="0">'Tính toán ĐC SMRM - Sơ bộ'!$A$1:$AB$31</definedName>
  </definedNames>
  <calcPr fullCalcOnLoad="1"/>
</workbook>
</file>

<file path=xl/comments2.xml><?xml version="1.0" encoding="utf-8"?>
<comments xmlns="http://schemas.openxmlformats.org/spreadsheetml/2006/main">
  <authors>
    <author>PhongTH</author>
    <author>User</author>
  </authors>
  <commentList>
    <comment ref="D7" authorId="0">
      <text>
        <r>
          <rPr>
            <b/>
            <sz val="8"/>
            <color indexed="12"/>
            <rFont val="Tahoma"/>
            <family val="2"/>
          </rPr>
          <t xml:space="preserve">Lưu ý:
</t>
        </r>
        <r>
          <rPr>
            <sz val="8"/>
            <color indexed="12"/>
            <rFont val="Tahoma"/>
            <family val="2"/>
          </rPr>
          <t xml:space="preserve">Tính từ điểm đầu tiên của SMRM tới tâm chốt kéo
</t>
        </r>
      </text>
    </comment>
    <comment ref="E7" authorId="0">
      <text>
        <r>
          <rPr>
            <b/>
            <sz val="8"/>
            <color indexed="12"/>
            <rFont val="Tahoma"/>
            <family val="2"/>
          </rPr>
          <t xml:space="preserve">Lưu ý:
</t>
        </r>
        <r>
          <rPr>
            <sz val="8"/>
            <color indexed="12"/>
            <rFont val="Tahoma"/>
            <family val="2"/>
          </rPr>
          <t>Nhập dữ liệu dưới dạng text; Ví dụ: 7500+1300</t>
        </r>
      </text>
    </comment>
    <comment ref="J34" authorId="1">
      <text>
        <r>
          <rPr>
            <i/>
            <sz val="9"/>
            <color indexed="10"/>
            <rFont val="Arial"/>
            <family val="2"/>
          </rPr>
          <t>Giá trị đã được làm tròn số</t>
        </r>
      </text>
    </comment>
  </commentList>
</comments>
</file>

<file path=xl/sharedStrings.xml><?xml version="1.0" encoding="utf-8"?>
<sst xmlns="http://schemas.openxmlformats.org/spreadsheetml/2006/main" count="293" uniqueCount="225">
  <si>
    <t>Khối lượng bản thân</t>
  </si>
  <si>
    <t>kg</t>
  </si>
  <si>
    <t>Số trục sơ mi rơ moóc</t>
  </si>
  <si>
    <t xml:space="preserve"> - KL Bản thân</t>
  </si>
  <si>
    <t xml:space="preserve"> - Khối lượng Hàng chuyên chở theo thiết kế</t>
  </si>
  <si>
    <t xml:space="preserve"> - Khối lượng toàn bộ Theo Thiết kế</t>
  </si>
  <si>
    <t>Nhãn hiệu/Số loại</t>
  </si>
  <si>
    <t>Phân bố lên Chốt kéo</t>
  </si>
  <si>
    <t>Phân bố lên Cụm trục sau</t>
  </si>
  <si>
    <t>Khối lượng của 01 cầu SMRM</t>
  </si>
  <si>
    <t>Khối lượng 01 cụm treo (nhíp + mõ nhíp + các thanh liên kết)</t>
  </si>
  <si>
    <t>Khối lượng cụm lốp + vành (la giăng)</t>
  </si>
  <si>
    <r>
      <t>Khoảng cách từ trọng tâm hàng hóa tới tâm cụm trục sau (</t>
    </r>
    <r>
      <rPr>
        <b/>
        <sz val="9"/>
        <color indexed="10"/>
        <rFont val="Tahoma"/>
        <family val="2"/>
      </rPr>
      <t>OS</t>
    </r>
    <r>
      <rPr>
        <sz val="9"/>
        <rFont val="Tahoma"/>
        <family val="2"/>
      </rPr>
      <t>)</t>
    </r>
  </si>
  <si>
    <t xml:space="preserve">Chiều dài cơ sở tính toán (WB) </t>
  </si>
  <si>
    <t>Khối lượng của cụm cầu SMRM</t>
  </si>
  <si>
    <t>Khối lượng cụm treo (nhíp + mõ nhíp + các thanh liên kết)</t>
  </si>
  <si>
    <t xml:space="preserve">Thông số kích thước của SMRM </t>
  </si>
  <si>
    <t>Khối lượng của cả cụm (cầu sau) SMRM</t>
  </si>
  <si>
    <r>
      <t>Khoảng cách từ cụm trục sau tới đuôi SMRM (</t>
    </r>
    <r>
      <rPr>
        <b/>
        <sz val="9"/>
        <color indexed="10"/>
        <rFont val="Tahoma"/>
        <family val="2"/>
      </rPr>
      <t>ROH</t>
    </r>
    <r>
      <rPr>
        <sz val="9"/>
        <rFont val="Tahoma"/>
        <family val="2"/>
      </rPr>
      <t>)</t>
    </r>
  </si>
  <si>
    <r>
      <t xml:space="preserve">Khoảng cách từ trọng tâm hàng hóa tới đầu xe </t>
    </r>
    <r>
      <rPr>
        <b/>
        <sz val="10"/>
        <color indexed="10"/>
        <rFont val="Arial"/>
        <family val="2"/>
      </rPr>
      <t>FOS</t>
    </r>
    <r>
      <rPr>
        <sz val="10"/>
        <rFont val="Arial"/>
        <family val="2"/>
      </rPr>
      <t xml:space="preserve"> (nguyên thủy)</t>
    </r>
  </si>
  <si>
    <r>
      <t xml:space="preserve">Khối lượng bản thân không tính cụm trục sau của SMRM </t>
    </r>
    <r>
      <rPr>
        <b/>
        <sz val="10"/>
        <color indexed="10"/>
        <rFont val="Arial"/>
        <family val="2"/>
      </rPr>
      <t>G0SM1</t>
    </r>
  </si>
  <si>
    <t>Tải trọng trục cho phép TGGT cho cụm trục sau (có d = 1,310 &gt; 1,3m)</t>
  </si>
  <si>
    <t xml:space="preserve"> + Khối lượng toàn bộ CPTGGT phân bố lên chốt kéo       </t>
  </si>
  <si>
    <t xml:space="preserve"> + Khối lượng toàn bộ CPTGGT Phân bố lên cụm trục sau </t>
  </si>
  <si>
    <t>khavaq@gmail.com - 0903407789</t>
  </si>
  <si>
    <t>Liên hệ: Đỗ Văn Kha - Phòng Chất lượng XCG - Cục Đăng Kiểm Việt Nam -nếu cần giải đáp thắc mắc</t>
  </si>
  <si>
    <t xml:space="preserve">Số khung: </t>
  </si>
  <si>
    <t>LGA…</t>
  </si>
  <si>
    <t xml:space="preserve">Loại phương tiện: </t>
  </si>
  <si>
    <t>* Chú ý: nhập đủ dữ liệu vào toàn bộ các ô màu VÀNG</t>
  </si>
  <si>
    <t>Nhãn hiệu / Số loại / Model code</t>
  </si>
  <si>
    <t>Loại phương tiện</t>
  </si>
  <si>
    <t>Chiều dài cơ sở</t>
  </si>
  <si>
    <t>KL bản thân</t>
  </si>
  <si>
    <t>Phân bố lên cầu sau hoặc cụm cầu sau</t>
  </si>
  <si>
    <t>SMRM tải (chở container)</t>
  </si>
  <si>
    <t>.</t>
  </si>
  <si>
    <t>Khối lượng bản thân của đầu kéo</t>
  </si>
  <si>
    <t>Khối lượng người</t>
  </si>
  <si>
    <t>Khối lượng toàn bộ CPTGGT</t>
  </si>
  <si>
    <t>Khối lượng kéo theo CPTGGT</t>
  </si>
  <si>
    <t>Khối lượng kéo theo theo TK</t>
  </si>
  <si>
    <t>HYUNDAI / HD700</t>
  </si>
  <si>
    <t xml:space="preserve"> KẾT QUẢ TÍNH TOÁN SMRM</t>
  </si>
  <si>
    <t xml:space="preserve">     Khối lượng bản thân:</t>
  </si>
  <si>
    <t>(ký và ghi rõ họ tên)</t>
  </si>
  <si>
    <t xml:space="preserve">     Khối lượng hàng chuyên chở theo thiết kế:</t>
  </si>
  <si>
    <t xml:space="preserve">     Khối lượng hàng chuyên chở cho phép TGGT:</t>
  </si>
  <si>
    <t xml:space="preserve">     Khối lượng toàn bộ theo thiết kế:</t>
  </si>
  <si>
    <t xml:space="preserve">     Khối lượng toàn bộ cho phép TGGT:</t>
  </si>
  <si>
    <t>Printed:</t>
  </si>
  <si>
    <t>OAL</t>
  </si>
  <si>
    <t>OS+ROH</t>
  </si>
  <si>
    <t>BẢNG TÍNH (SMRM)</t>
  </si>
  <si>
    <t>HYUNDAI / HD450</t>
  </si>
  <si>
    <t>4x2</t>
  </si>
  <si>
    <t>Số trục</t>
  </si>
  <si>
    <t>-</t>
  </si>
  <si>
    <t>6x4</t>
  </si>
  <si>
    <t>SMRM tải</t>
  </si>
  <si>
    <t>WB</t>
  </si>
  <si>
    <t>HYUNDAI / HD1000</t>
  </si>
  <si>
    <t>Khối lượng bản thân (kg)</t>
  </si>
  <si>
    <t>G01</t>
  </si>
  <si>
    <t>KL bản thân phân bố lên 1 trục sau</t>
  </si>
  <si>
    <t>FREIGHTLINER/ CL120064ST</t>
  </si>
  <si>
    <t>SMRM tải (chở xe, máy chuyên dùng)</t>
  </si>
  <si>
    <t>Cầu sau/Cụm cầu sau</t>
  </si>
  <si>
    <t>G02</t>
  </si>
  <si>
    <t>Tổng</t>
  </si>
  <si>
    <t>G0</t>
  </si>
  <si>
    <t>Khối lượng chuyên chở theo TK (kg)</t>
  </si>
  <si>
    <t>P</t>
  </si>
  <si>
    <t>4x4</t>
  </si>
  <si>
    <t>Khối lượng toàn bộ theo TK (kg)</t>
  </si>
  <si>
    <t>G1</t>
  </si>
  <si>
    <t>6x2</t>
  </si>
  <si>
    <t>SMRM xi téc (chở nhiên liệu)</t>
  </si>
  <si>
    <t>G2</t>
  </si>
  <si>
    <t>SMRM xi téc (chở nhựa đường nóng lỏng)</t>
  </si>
  <si>
    <t>G</t>
  </si>
  <si>
    <t>Các giá trị của KL chuyên chở CPTGGT tính theo từng điều kiện</t>
  </si>
  <si>
    <t>6x6</t>
  </si>
  <si>
    <t>Khối lượng chuyên chở CPTGGT (kg)</t>
  </si>
  <si>
    <t>P*</t>
  </si>
  <si>
    <t>8x4</t>
  </si>
  <si>
    <t>SMRM xi téc (chở nước)</t>
  </si>
  <si>
    <t>Khối lượng toàn bộ CPTGGT (kg)</t>
  </si>
  <si>
    <t>G1*</t>
  </si>
  <si>
    <t>căn cứ theo giá trị min giữa KL chuyên chở CPTGGT đặt lên mâm kéo của đầu kéo mẫu</t>
  </si>
  <si>
    <t>căn cứ theo giá trị min giữa tải trọng trục cho phép TGGT của cầu sau / cụm cầu sau của SMRM</t>
  </si>
  <si>
    <t>căn cứ theo giá trị min giữa tổng KL của đoàn xe CPTGGT</t>
  </si>
  <si>
    <t>KL chuyên chở CPTGGT là giá trị nhỏ nhất trong 3 giá trị bên</t>
  </si>
  <si>
    <t>min</t>
  </si>
  <si>
    <t>P+G2</t>
  </si>
  <si>
    <t>G1+Pn+T</t>
  </si>
  <si>
    <t>GCM*</t>
  </si>
  <si>
    <t>G2*</t>
  </si>
  <si>
    <t>SMRM xi téc (chở xăng)</t>
  </si>
  <si>
    <t>G*</t>
  </si>
  <si>
    <t>và KL toàn bộ theo TK phân bố lên kingpin của SMRM</t>
  </si>
  <si>
    <t>và KL toàn bộ theo TK phân bố lên cầu sau / cụm cầu sau của SMRM</t>
  </si>
  <si>
    <t>và tổng KL của đoàn xe theo thiết kế</t>
  </si>
  <si>
    <t>SMRM xi téc (chở xi măng rời)</t>
  </si>
  <si>
    <t xml:space="preserve">Tải trọng trục CPTGGT theo quy định đối với SMRM </t>
  </si>
  <si>
    <t>GAMF*</t>
  </si>
  <si>
    <t>SMRM xi téc (chở xi măng Amiăng rời)</t>
  </si>
  <si>
    <t>GAMR*</t>
  </si>
  <si>
    <t>Khối lượng toàn bộ CPTGGT tối đa của đoàn xe theo quy định</t>
  </si>
  <si>
    <t>Chiều dài cơ sở sau cải tạo</t>
  </si>
  <si>
    <r>
      <t>Chiều dài cơ sở Tính toán (</t>
    </r>
    <r>
      <rPr>
        <b/>
        <sz val="10"/>
        <color indexed="10"/>
        <rFont val="Arial"/>
        <family val="2"/>
      </rPr>
      <t>WB</t>
    </r>
    <r>
      <rPr>
        <sz val="10"/>
        <rFont val="Arial"/>
        <family val="2"/>
      </rPr>
      <t>)</t>
    </r>
  </si>
  <si>
    <r>
      <t>Khoảng cách từ tâm chốt kéo tới đầu SMRM (</t>
    </r>
    <r>
      <rPr>
        <b/>
        <sz val="10"/>
        <color indexed="10"/>
        <rFont val="Arial"/>
        <family val="2"/>
      </rPr>
      <t>FOH</t>
    </r>
    <r>
      <rPr>
        <sz val="10"/>
        <rFont val="Arial"/>
        <family val="2"/>
      </rPr>
      <t>)</t>
    </r>
  </si>
  <si>
    <t>5. Các thông số tính toán khác</t>
  </si>
  <si>
    <t>Chiều dài cơ sở điều chỉnh:</t>
  </si>
  <si>
    <t>Khối lượng bản thân SMRM (kg)</t>
  </si>
  <si>
    <t>Hướng dẫn đo các kích thước cần thiết</t>
  </si>
  <si>
    <r>
      <t xml:space="preserve">Hướng dẫn đo </t>
    </r>
    <r>
      <rPr>
        <b/>
        <sz val="12"/>
        <color indexed="10"/>
        <rFont val="Arial"/>
        <family val="2"/>
      </rPr>
      <t>OS</t>
    </r>
    <r>
      <rPr>
        <sz val="12"/>
        <color indexed="12"/>
        <rFont val="Arial"/>
        <family val="2"/>
      </rPr>
      <t xml:space="preserve"> và cân khối lượng phân bố lên cụm trục sau</t>
    </r>
  </si>
  <si>
    <t>Sơ mi rơ moóc tải (chở container)</t>
  </si>
  <si>
    <r>
      <rPr>
        <b/>
        <sz val="10"/>
        <rFont val="Arial"/>
        <family val="2"/>
      </rPr>
      <t>- Khi thực hiện phép đo OS đối với thùng hàng hoặc xi té</t>
    </r>
    <r>
      <rPr>
        <sz val="10"/>
        <rFont val="Arial"/>
        <family val="2"/>
      </rPr>
      <t xml:space="preserve">c. Đầu tiên chúng ta phải đo chiều dài toàn bộ của lòng thùng hàng hoặc xi téc (Chú ý: phần chở hàng là phần có thể xếp hàng hóa để chuyên chở, không tính các phần không thể xếp hàng), sau đó chia đôi để xác định vị trí trọng tâm L/2. Đánh dấu vị trí trọng tâm rồi tiến hành đo kích thước từ vị trí này tới vị trí tâm cụm trục sau).
</t>
    </r>
    <r>
      <rPr>
        <b/>
        <sz val="10"/>
        <rFont val="Arial"/>
        <family val="2"/>
      </rPr>
      <t>- Phương pháp xác định OS cho Trường hợp SMRM tải chở containe</t>
    </r>
    <r>
      <rPr>
        <sz val="10"/>
        <rFont val="Arial"/>
        <family val="2"/>
      </rPr>
      <t xml:space="preserve">r được thiết kế để chở nhiều loại container có kích thước khác nhau (20ft, 40ft, 45ft…):
Xác định OS cho trường hợp chở container lớn nhất theo thiết kế của SMRM. Trường hợp này chiều dài phần chở hàng L được xác định từ chốt khóa container đầu tiên tới chốt khóa cuối cùng 
</t>
    </r>
  </si>
  <si>
    <r>
      <t xml:space="preserve">Khối lượng bản thân SMRM
</t>
    </r>
    <r>
      <rPr>
        <sz val="8"/>
        <color indexed="10"/>
        <rFont val="Tahoma"/>
        <family val="2"/>
      </rPr>
      <t>(tính toán phân bố lại sau khi thay đối WB)</t>
    </r>
  </si>
  <si>
    <t xml:space="preserve">OS = </t>
  </si>
  <si>
    <t>Bảng Thông số kỹ thuật</t>
  </si>
  <si>
    <t>Kích thước bao</t>
  </si>
  <si>
    <t>Khối lượng hàng chuyên chở theo TK</t>
  </si>
  <si>
    <t>Khối lượng hàng chuyên chở CPTGGT</t>
  </si>
  <si>
    <t>Khối lượng toàn bộ theo TK</t>
  </si>
  <si>
    <r>
      <t>Điều chỉnh chiều dài cơ sở (WB) và vị trí chốt kéo để có kết quả khối lượng hàng chuyên chở CPTGGT tối ưu nhất.</t>
    </r>
    <r>
      <rPr>
        <sz val="9"/>
        <color indexed="10"/>
        <rFont val="Arial"/>
        <family val="2"/>
      </rPr>
      <t xml:space="preserve"> Chỉ điều chỉnh vị trí chốt kéo trong trường hợp không thể tiếp tục kéo dài WB do hết chiều dài SMRM</t>
    </r>
  </si>
  <si>
    <t>Biển số:</t>
  </si>
  <si>
    <t>29H-XXXX</t>
  </si>
  <si>
    <t>Vết bánh xe sau</t>
  </si>
  <si>
    <t>Tổng KL cụm cầu sau:</t>
  </si>
  <si>
    <r>
      <t>Chiều dài cơ sở tính toán (</t>
    </r>
    <r>
      <rPr>
        <b/>
        <sz val="9"/>
        <color indexed="10"/>
        <rFont val="Tahoma"/>
        <family val="2"/>
      </rPr>
      <t>WB</t>
    </r>
    <r>
      <rPr>
        <sz val="9"/>
        <rFont val="Tahoma"/>
        <family val="2"/>
      </rPr>
      <t xml:space="preserve">) 
</t>
    </r>
    <r>
      <rPr>
        <sz val="9"/>
        <color indexed="10"/>
        <rFont val="Tahoma"/>
        <family val="2"/>
      </rPr>
      <t>xem hình mô tả</t>
    </r>
  </si>
  <si>
    <r>
      <t>Khối lượng toàn bộ theo</t>
    </r>
    <r>
      <rPr>
        <b/>
        <sz val="9"/>
        <color indexed="10"/>
        <rFont val="Tahoma"/>
        <family val="2"/>
      </rPr>
      <t xml:space="preserve"> Thiết kế</t>
    </r>
    <r>
      <rPr>
        <b/>
        <sz val="9"/>
        <rFont val="Tahoma"/>
        <family val="2"/>
      </rPr>
      <t xml:space="preserve"> của SMRM (kg)</t>
    </r>
  </si>
  <si>
    <r>
      <t xml:space="preserve"> - KL hàng chuyên chở CPTGGT</t>
    </r>
    <r>
      <rPr>
        <b/>
        <sz val="8"/>
        <color indexed="10"/>
        <rFont val="Tahoma"/>
        <family val="2"/>
      </rPr>
      <t xml:space="preserve"> (theo tính toán chi tiết)</t>
    </r>
  </si>
  <si>
    <r>
      <t xml:space="preserve"> - KL hàng chuyên chở CPTGGT</t>
    </r>
    <r>
      <rPr>
        <b/>
        <sz val="8"/>
        <rFont val="Tahoma"/>
        <family val="2"/>
      </rPr>
      <t xml:space="preserve"> (theo tính toán sơ bộ)</t>
    </r>
  </si>
  <si>
    <r>
      <t xml:space="preserve"> - Khối lượng toàn bộ CPTGGT </t>
    </r>
    <r>
      <rPr>
        <b/>
        <sz val="8"/>
        <rFont val="Tahoma"/>
        <family val="2"/>
      </rPr>
      <t>(theo tính toán sơ bộ)</t>
    </r>
  </si>
  <si>
    <r>
      <rPr>
        <b/>
        <sz val="8"/>
        <color indexed="12"/>
        <rFont val="Arial"/>
        <family val="2"/>
      </rPr>
      <t>* Chú ý:</t>
    </r>
    <r>
      <rPr>
        <sz val="8"/>
        <color indexed="12"/>
        <rFont val="Arial"/>
        <family val="2"/>
      </rPr>
      <t xml:space="preserve"> giá trị KL toàn bộ của SMRM phân bố lên chốt kéo không được lớn hơn Khối lương hàng chuyên chở của đầu kéo mẫu (khoảng: 13000 - 15200 kg)</t>
    </r>
  </si>
  <si>
    <t>Tính toán cả giới hạn khối lượng hàng chuyên chở CPTGGT của đầu kéo mẫu
(Thay đổi đầu kéo mẫu bên bảng tính toán KT chi tiết)</t>
  </si>
  <si>
    <t>Thông tin cảnh báo</t>
  </si>
  <si>
    <r>
      <t xml:space="preserve">Giới hạn chiều dài đuôi xe </t>
    </r>
    <r>
      <rPr>
        <b/>
        <sz val="10"/>
        <color indexed="12"/>
        <rFont val="Arial"/>
        <family val="2"/>
      </rPr>
      <t>ROH</t>
    </r>
    <r>
      <rPr>
        <sz val="10"/>
        <rFont val="Arial"/>
        <family val="2"/>
      </rPr>
      <t xml:space="preserve"> &lt; 60% chiều dài cơ sở</t>
    </r>
  </si>
  <si>
    <t>*Ghi chú: nếu không dán được ảnh vào bản thông số KT này, có thể đính kèm theo (và đóng dấu giáp lai)</t>
  </si>
  <si>
    <t>1. Thông số kỹ thuật Sơ mi rơ moóc nguyên thủy trước khi điều chỉnh</t>
  </si>
  <si>
    <t>2. Thông số KT cần điều chỉnh (chiều dài cơ sở tính toán WB và vị trí tâm chốt kéo)</t>
  </si>
  <si>
    <r>
      <t>3. Kết quả tính toán sau khi điều chỉnh</t>
    </r>
    <r>
      <rPr>
        <b/>
        <sz val="10"/>
        <rFont val="Arial"/>
        <family val="2"/>
      </rPr>
      <t xml:space="preserve">
</t>
    </r>
    <r>
      <rPr>
        <b/>
        <sz val="9"/>
        <color indexed="12"/>
        <rFont val="Arial"/>
        <family val="2"/>
      </rPr>
      <t>(chú ý giá trị dưới đây chưa làm tròn số - sau khi tính toán sơ bộ phù hợp, chuyển sang bảng "Tính toán kiểm tra chi tiết", lựa chọn đầu kéo mẫu phù hợp để có kết quả tính toán chi tiết)</t>
    </r>
  </si>
  <si>
    <t>4. TSKT Sơ mi rơ moóc sau khi điều chỉnh (vị trí chốt kéo, cụm trục)</t>
  </si>
  <si>
    <t>THÔNG SỐ KỸ THUẬT SMRM SAU KHI ĐiỀU CHỈNH (chốt kéo và/hoặc cụm trục)</t>
  </si>
  <si>
    <t>Đơn vị thi công:</t>
  </si>
  <si>
    <r>
      <t xml:space="preserve">Khoảng cách từ trọng tâm (của khối lượng </t>
    </r>
    <r>
      <rPr>
        <b/>
        <sz val="10"/>
        <color indexed="10"/>
        <rFont val="Arial"/>
        <family val="2"/>
      </rPr>
      <t>G0SM1</t>
    </r>
    <r>
      <rPr>
        <sz val="10"/>
        <rFont val="Arial"/>
        <family val="2"/>
      </rPr>
      <t xml:space="preserve">) tới cầu sau  </t>
    </r>
    <r>
      <rPr>
        <b/>
        <sz val="10"/>
        <color indexed="10"/>
        <rFont val="Arial"/>
        <family val="2"/>
      </rPr>
      <t>OSsm</t>
    </r>
    <r>
      <rPr>
        <sz val="10"/>
        <rFont val="Arial"/>
        <family val="2"/>
      </rPr>
      <t xml:space="preserve"> 
(nguyên thủy trước điều chỉnh) -</t>
    </r>
    <r>
      <rPr>
        <i/>
        <sz val="10"/>
        <rFont val="Arial"/>
        <family val="2"/>
      </rPr>
      <t xml:space="preserve"> sử dụng để tính lại phân bố khối lượng bản thân</t>
    </r>
  </si>
  <si>
    <r>
      <t>Khoảng cách từ trục sau cùng tới đuôi SMRM (</t>
    </r>
    <r>
      <rPr>
        <b/>
        <sz val="9"/>
        <color indexed="10"/>
        <rFont val="Tahoma"/>
        <family val="2"/>
      </rPr>
      <t>ROHđ</t>
    </r>
    <r>
      <rPr>
        <b/>
        <sz val="9"/>
        <rFont val="Tahoma"/>
        <family val="2"/>
      </rPr>
      <t>)</t>
    </r>
  </si>
  <si>
    <r>
      <t>GT Tham khảo: 
(</t>
    </r>
    <r>
      <rPr>
        <b/>
        <sz val="8"/>
        <color indexed="10"/>
        <rFont val="Arial"/>
        <family val="2"/>
      </rPr>
      <t>9000 - 10000</t>
    </r>
    <r>
      <rPr>
        <sz val="8"/>
        <color indexed="56"/>
        <rFont val="Arial"/>
        <family val="2"/>
      </rPr>
      <t>)</t>
    </r>
  </si>
  <si>
    <r>
      <t>GT Tham khảo: 
(</t>
    </r>
    <r>
      <rPr>
        <b/>
        <sz val="8"/>
        <color indexed="10"/>
        <rFont val="Arial"/>
        <family val="2"/>
      </rPr>
      <t>900 - 1200</t>
    </r>
    <r>
      <rPr>
        <sz val="8"/>
        <color indexed="56"/>
        <rFont val="Arial"/>
        <family val="2"/>
      </rPr>
      <t>)</t>
    </r>
  </si>
  <si>
    <r>
      <t xml:space="preserve">Khối lượng của </t>
    </r>
    <r>
      <rPr>
        <b/>
        <sz val="9"/>
        <color indexed="10"/>
        <rFont val="Tahoma"/>
        <family val="2"/>
      </rPr>
      <t>01</t>
    </r>
    <r>
      <rPr>
        <b/>
        <sz val="9"/>
        <rFont val="Tahoma"/>
        <family val="2"/>
      </rPr>
      <t xml:space="preserve"> trục (cầu sau) SMRM
</t>
    </r>
    <r>
      <rPr>
        <sz val="8"/>
        <rFont val="Tahoma"/>
        <family val="2"/>
      </rPr>
      <t xml:space="preserve">(sử dụng để tính toán phân bố khối lượng bản thân sau khi cải tạo)
</t>
    </r>
    <r>
      <rPr>
        <sz val="8"/>
        <color indexed="10"/>
        <rFont val="Tahoma"/>
        <family val="2"/>
      </rPr>
      <t xml:space="preserve">nếu không có thông số thì giữ nguyên giá trị tương đối như bên dưới là: </t>
    </r>
    <r>
      <rPr>
        <b/>
        <sz val="8"/>
        <color indexed="10"/>
        <rFont val="Tahoma"/>
        <family val="2"/>
      </rPr>
      <t>500 - 160 - 400</t>
    </r>
    <r>
      <rPr>
        <sz val="8"/>
        <color indexed="10"/>
        <rFont val="Tahoma"/>
        <family val="2"/>
      </rPr>
      <t xml:space="preserve"> kg</t>
    </r>
  </si>
  <si>
    <r>
      <t xml:space="preserve">Khoảng cách từ trọng tâm (của khối lượng </t>
    </r>
    <r>
      <rPr>
        <sz val="10"/>
        <color indexed="10"/>
        <rFont val="Arial"/>
        <family val="2"/>
      </rPr>
      <t>G0SM1</t>
    </r>
    <r>
      <rPr>
        <sz val="10"/>
        <rFont val="Arial"/>
        <family val="2"/>
      </rPr>
      <t xml:space="preserve">) tới cầu sau  </t>
    </r>
    <r>
      <rPr>
        <sz val="10"/>
        <color indexed="10"/>
        <rFont val="Arial"/>
        <family val="2"/>
      </rPr>
      <t xml:space="preserve">OSsm2 </t>
    </r>
    <r>
      <rPr>
        <sz val="10"/>
        <rFont val="Arial"/>
        <family val="2"/>
      </rPr>
      <t xml:space="preserve">
(Sau điều chỉnh) - sử dụng để tính lại phân bố khối lượng bản thân</t>
    </r>
  </si>
  <si>
    <r>
      <t>Dán ảnh chụp thực tế SMRM sau điều chỉnh
(</t>
    </r>
    <r>
      <rPr>
        <b/>
        <sz val="8"/>
        <color indexed="10"/>
        <rFont val="Arial"/>
        <family val="2"/>
      </rPr>
      <t>Ảnh chụp ở trạng thái không tải)</t>
    </r>
  </si>
  <si>
    <r>
      <t xml:space="preserve">Dán ảnh chụp thực tế SMRM sau điều chỉnh
</t>
    </r>
    <r>
      <rPr>
        <b/>
        <sz val="8"/>
        <color indexed="10"/>
        <rFont val="Arial"/>
        <family val="2"/>
      </rPr>
      <t>(Ảnh chụp ở trạng thái Thử tải)</t>
    </r>
  </si>
  <si>
    <r>
      <t>Khoảng cách giữa hai trục liền kề (</t>
    </r>
    <r>
      <rPr>
        <b/>
        <sz val="10"/>
        <color indexed="10"/>
        <rFont val="Arial"/>
        <family val="2"/>
      </rPr>
      <t>d</t>
    </r>
    <r>
      <rPr>
        <sz val="10"/>
        <rFont val="Arial"/>
        <family val="2"/>
      </rPr>
      <t>)</t>
    </r>
  </si>
  <si>
    <r>
      <t>GT Tham khảo: 
(</t>
    </r>
    <r>
      <rPr>
        <b/>
        <sz val="8"/>
        <color indexed="10"/>
        <rFont val="Arial"/>
        <family val="2"/>
      </rPr>
      <t>1310</t>
    </r>
    <r>
      <rPr>
        <sz val="8"/>
        <color indexed="56"/>
        <rFont val="Arial"/>
        <family val="2"/>
      </rPr>
      <t>)</t>
    </r>
  </si>
  <si>
    <t xml:space="preserve">      chú ý: không sử dụng cụm 03 trục có d&lt;1310</t>
  </si>
  <si>
    <t>Kích thước phần nhô (đầu và đuôi SMRM)</t>
  </si>
  <si>
    <r>
      <t>Phần Nhô đầu SMRM (</t>
    </r>
    <r>
      <rPr>
        <b/>
        <sz val="9"/>
        <color indexed="10"/>
        <rFont val="Tahoma"/>
        <family val="2"/>
      </rPr>
      <t>Fnt</t>
    </r>
    <r>
      <rPr>
        <sz val="9"/>
        <rFont val="Tahoma"/>
        <family val="2"/>
      </rPr>
      <t>)</t>
    </r>
  </si>
  <si>
    <r>
      <t>Phần Nhô đầu SMRM (</t>
    </r>
    <r>
      <rPr>
        <b/>
        <sz val="9"/>
        <color indexed="10"/>
        <rFont val="Tahoma"/>
        <family val="2"/>
      </rPr>
      <t>Fns</t>
    </r>
    <r>
      <rPr>
        <sz val="9"/>
        <rFont val="Tahoma"/>
        <family val="2"/>
      </rPr>
      <t>)</t>
    </r>
  </si>
  <si>
    <r>
      <t>Khoảng cách từ tâm chốt khóa container đầu tiên tới tâm chốt khóa container cuối cùng của SMRM
(</t>
    </r>
    <r>
      <rPr>
        <b/>
        <sz val="9"/>
        <color indexed="10"/>
        <rFont val="Tahoma"/>
        <family val="2"/>
      </rPr>
      <t>Lsm</t>
    </r>
    <r>
      <rPr>
        <sz val="9"/>
        <rFont val="Tahoma"/>
        <family val="2"/>
      </rPr>
      <t>)</t>
    </r>
  </si>
  <si>
    <r>
      <t>Khoảng cách từ tâm chốt kéo tới tâm chốt khóa container đầu tiên của SMRM (</t>
    </r>
    <r>
      <rPr>
        <b/>
        <sz val="9"/>
        <color indexed="10"/>
        <rFont val="Tahoma"/>
        <family val="2"/>
      </rPr>
      <t>FOH</t>
    </r>
    <r>
      <rPr>
        <sz val="9"/>
        <rFont val="Tahoma"/>
        <family val="2"/>
      </rPr>
      <t>)</t>
    </r>
  </si>
  <si>
    <r>
      <t xml:space="preserve">Thông số kích thước của SMRM (mm)
</t>
    </r>
    <r>
      <rPr>
        <b/>
        <sz val="10"/>
        <color indexed="10"/>
        <rFont val="Arial"/>
        <family val="2"/>
      </rPr>
      <t>(</t>
    </r>
    <r>
      <rPr>
        <i/>
        <sz val="10"/>
        <color indexed="10"/>
        <rFont val="Arial"/>
        <family val="2"/>
      </rPr>
      <t>chú ý kích thước này không tính phần nhô đầu và đuôi SMRM - Tính theo tâm chốt khóa container</t>
    </r>
    <r>
      <rPr>
        <b/>
        <sz val="10"/>
        <color indexed="10"/>
        <rFont val="Arial"/>
        <family val="2"/>
      </rPr>
      <t>)</t>
    </r>
  </si>
  <si>
    <t>ABC</t>
  </si>
  <si>
    <t>TÍNH TOÁN KHỐI LƯỢNG CPTGGT CỦA SMRM</t>
  </si>
  <si>
    <t>Số ĐKKT:</t>
  </si>
  <si>
    <t>Số khung</t>
  </si>
  <si>
    <r>
      <t>Thể tích thùng hàng / xi téc (m</t>
    </r>
    <r>
      <rPr>
        <b/>
        <vertAlign val="superscript"/>
        <sz val="10"/>
        <color indexed="8"/>
        <rFont val="Arial"/>
        <family val="2"/>
      </rPr>
      <t>3</t>
    </r>
    <r>
      <rPr>
        <b/>
        <sz val="10"/>
        <color indexed="8"/>
        <rFont val="Arial"/>
        <family val="2"/>
      </rPr>
      <t>)</t>
    </r>
  </si>
  <si>
    <t>Số Báo cáo thử nghiệm</t>
  </si>
  <si>
    <t>Ghi chú</t>
  </si>
  <si>
    <r>
      <t xml:space="preserve">Nhập dữ liệu: chú ý: </t>
    </r>
    <r>
      <rPr>
        <b/>
        <i/>
        <sz val="11"/>
        <color indexed="10"/>
        <rFont val="Arial"/>
        <family val="2"/>
      </rPr>
      <t>(bắt buộc phải nhập dữ liệu vào toàn bộ các ô màu vàng -</t>
    </r>
    <r>
      <rPr>
        <b/>
        <i/>
        <u val="single"/>
        <sz val="11"/>
        <color indexed="10"/>
        <rFont val="Arial"/>
        <family val="2"/>
      </rPr>
      <t xml:space="preserve"> lưu ý các ô màu đỏ</t>
    </r>
    <r>
      <rPr>
        <b/>
        <i/>
        <sz val="11"/>
        <color indexed="10"/>
        <rFont val="Arial"/>
        <family val="2"/>
      </rPr>
      <t>)</t>
    </r>
  </si>
  <si>
    <t>Chiều dài toàn bộ của SMRM (OAL2)</t>
  </si>
  <si>
    <t>Khoảng cách từ đầu SMRM tới tâm chốt kéo (FOH2)</t>
  </si>
  <si>
    <t>Khoảng cách trục</t>
  </si>
  <si>
    <t>Khoảng cách từ trọng tâm thùng hàng đến tâm cụm cầu sau (OS2)</t>
  </si>
  <si>
    <r>
      <t xml:space="preserve">Khả năng chịu tải lớn nhất của chốt kéo </t>
    </r>
    <r>
      <rPr>
        <i/>
        <sz val="8"/>
        <color indexed="10"/>
        <rFont val="Arial"/>
        <family val="2"/>
      </rPr>
      <t>(nếu không có giá trị cụ thể thì để trống)</t>
    </r>
  </si>
  <si>
    <r>
      <t xml:space="preserve">Tải trọng của cụm trục sau theo thiết kế của nhà SX </t>
    </r>
    <r>
      <rPr>
        <i/>
        <sz val="8"/>
        <color indexed="12"/>
        <rFont val="Arial"/>
        <family val="2"/>
      </rPr>
      <t>(là giá trị nhỏ nhất trong các giới hạn tải trọng của cầu xe, lốp, treo, phanh…)</t>
    </r>
  </si>
  <si>
    <t>Khối lượng toàn bộ của xe  theo tài liệu hoặc công bố của nhà sản xuất</t>
  </si>
  <si>
    <t>Phân bố lên chốt kéo (phân bố lên mâm kéo của đầu kéo)</t>
  </si>
  <si>
    <t>SMRM xi téc (chở xe)</t>
  </si>
  <si>
    <r>
      <t xml:space="preserve">Đầu kéo giả định: </t>
    </r>
    <r>
      <rPr>
        <b/>
        <i/>
        <sz val="11"/>
        <color indexed="10"/>
        <rFont val="Arial"/>
        <family val="2"/>
      </rPr>
      <t>(bắt buộc phải chọn đầu kéo mẫu phù hợp để có kết quả tối ưu nhất)</t>
    </r>
  </si>
  <si>
    <t>Công thức bánh xe</t>
  </si>
  <si>
    <t>Chiều dài toàn bộ của đầu kéo (OAL1)</t>
  </si>
  <si>
    <t>Khoảng cách từ tâm của mâm kéo tới đuôi xe (OS1+ROH1)</t>
  </si>
  <si>
    <r>
      <t>Khối lượng chuyên chở CPTGGT</t>
    </r>
    <r>
      <rPr>
        <sz val="8"/>
        <color indexed="12"/>
        <rFont val="Arial"/>
        <family val="2"/>
      </rPr>
      <t xml:space="preserve"> </t>
    </r>
    <r>
      <rPr>
        <i/>
        <sz val="8"/>
        <color indexed="12"/>
        <rFont val="Arial"/>
        <family val="2"/>
      </rPr>
      <t>(đặt lên mâm kéo)</t>
    </r>
  </si>
  <si>
    <t>G.C.M theo TK</t>
  </si>
  <si>
    <t>HYUNDAI / TRAGO</t>
  </si>
  <si>
    <r>
      <t xml:space="preserve">     </t>
    </r>
    <r>
      <rPr>
        <b/>
        <sz val="10"/>
        <color indexed="10"/>
        <rFont val="Arial"/>
        <family val="2"/>
      </rPr>
      <t>KLTB CPTGGT phân bố lên kingpin</t>
    </r>
  </si>
  <si>
    <t>Nhập khối lượng riêng của hàng hóa (kg/m3)</t>
  </si>
  <si>
    <t>Chiều dài cơ sở (mm)</t>
  </si>
  <si>
    <t>Chốt kéo (KL đặt lên mâm kéo của đầu kéo)</t>
  </si>
  <si>
    <t>Tỷ lệ phân bố KL</t>
  </si>
  <si>
    <t>SMRM tải (tự đổ)</t>
  </si>
  <si>
    <t>KL bản thân phân bố lên chốt kéo</t>
  </si>
  <si>
    <t>Các giá trị của KL chuyên chở theo thiết kế tính theo từng điều kiện</t>
  </si>
  <si>
    <t>SMRM xi téc (chở Axít Sulfuric)</t>
  </si>
  <si>
    <t>SMRM xi téc (chở Axít Axetic)</t>
  </si>
  <si>
    <t>KL bản thân phân bố lên cụm trục sau</t>
  </si>
  <si>
    <t>căn cứ theo khả năng chịu tải  theo thiết kế của chốt kéo</t>
  </si>
  <si>
    <t>căn cứ tải trọng trục theo TK của cầu sau / cụm cầu sau của SMRM</t>
  </si>
  <si>
    <t>căn cứ KL toàn bộ  của SMRM theo  tài liệu hoặc công bố của nhà sản xuất</t>
  </si>
  <si>
    <t>KL chuyên chở theo thiết kế là giá trị nhỏ nhất trong 3 giá trị bên</t>
  </si>
  <si>
    <t>SMRM xi téc (chở cồn)</t>
  </si>
  <si>
    <t>SMRM xi téc (chở dầu thực vật)</t>
  </si>
  <si>
    <t>KLTB theo TK phân bố lên chốt kéo</t>
  </si>
  <si>
    <t>SMRM xi téc (chở Hydro lỏng)</t>
  </si>
  <si>
    <t>KLTB theo TK phân bố lên 1 trục sau</t>
  </si>
  <si>
    <r>
      <t>SMRM xi téc (chở khí CO</t>
    </r>
    <r>
      <rPr>
        <vertAlign val="subscript"/>
        <sz val="11"/>
        <color indexed="8"/>
        <rFont val="Arial"/>
        <family val="2"/>
      </rPr>
      <t>2</t>
    </r>
    <r>
      <rPr>
        <sz val="11"/>
        <color indexed="8"/>
        <rFont val="Arial"/>
        <family val="2"/>
      </rPr>
      <t xml:space="preserve"> lỏng)</t>
    </r>
  </si>
  <si>
    <t>KLTB theo TK phân bố lên cụm trục sau</t>
  </si>
  <si>
    <t>SMRM xi téc (chở LPG)</t>
  </si>
  <si>
    <t>SMRM xi téc (chở mủ cao su)</t>
  </si>
  <si>
    <t>KLTB CPTGGT phân bố lên chốt kéo</t>
  </si>
  <si>
    <t>KLTB CPTGGT phân bố lên 1 trục sau</t>
  </si>
  <si>
    <t>SMRM xi téc (chở nhiên liệu máy bay JET A-1)</t>
  </si>
  <si>
    <t>KLTB CPTGGT phân bố lên cụm trục sau</t>
  </si>
  <si>
    <t>SMRM xi téc (chở Nitơ lỏng)</t>
  </si>
  <si>
    <t>SMRM xi téc (chở Oxy lỏng)</t>
  </si>
  <si>
    <t>SMRM xi téc (chở sữa tươi)</t>
  </si>
  <si>
    <t>Người lập</t>
  </si>
  <si>
    <t>Phê duyệt</t>
  </si>
  <si>
    <t>Version: 2.1 update ngày 13/02/2015</t>
  </si>
  <si>
    <r>
      <t>Phần Nhô đuôi SMRM (</t>
    </r>
    <r>
      <rPr>
        <b/>
        <sz val="9"/>
        <color indexed="10"/>
        <rFont val="Tahoma"/>
        <family val="2"/>
      </rPr>
      <t>Fns</t>
    </r>
    <r>
      <rPr>
        <sz val="9"/>
        <rFont val="Tahoma"/>
        <family val="2"/>
      </rPr>
      <t>)</t>
    </r>
  </si>
  <si>
    <t>Ver 2.2 ngày 19/03/2015</t>
  </si>
  <si>
    <t>BẢNG TÍNH TOÁN SƠ BỘ SỬ DỤNG CHO TÍNH TOÁN ĐIỀU CHỈNH VỊ TRÍ CHỐT KÉO, CỤM TRỤC SƠ MI RƠ MOÓC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</si>
</sst>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
    <numFmt numFmtId="181" formatCode="0.0"/>
    <numFmt numFmtId="182" formatCode="0.000"/>
    <numFmt numFmtId="183" formatCode="0.00000"/>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 numFmtId="189" formatCode="[$-1010409]d/m/yyyy\ h:mm\ AM/PM;@"/>
    <numFmt numFmtId="190" formatCode="#,##0.0"/>
  </numFmts>
  <fonts count="185">
    <font>
      <sz val="10"/>
      <name val="Arial"/>
      <family val="0"/>
    </font>
    <font>
      <b/>
      <sz val="10"/>
      <color indexed="10"/>
      <name val="Arial"/>
      <family val="2"/>
    </font>
    <font>
      <u val="single"/>
      <sz val="10"/>
      <color indexed="12"/>
      <name val="Arial"/>
      <family val="2"/>
    </font>
    <font>
      <u val="single"/>
      <sz val="10"/>
      <color indexed="36"/>
      <name val="Arial"/>
      <family val="2"/>
    </font>
    <font>
      <sz val="14"/>
      <name val="Tahoma"/>
      <family val="2"/>
    </font>
    <font>
      <sz val="10"/>
      <name val="Tahoma"/>
      <family val="2"/>
    </font>
    <font>
      <sz val="13"/>
      <name val="Tahoma"/>
      <family val="2"/>
    </font>
    <font>
      <b/>
      <sz val="10"/>
      <name val="Tahoma"/>
      <family val="2"/>
    </font>
    <font>
      <b/>
      <sz val="10"/>
      <color indexed="12"/>
      <name val="Tahoma"/>
      <family val="2"/>
    </font>
    <font>
      <b/>
      <sz val="12"/>
      <name val="Tahoma"/>
      <family val="2"/>
    </font>
    <font>
      <sz val="9"/>
      <name val="Tahoma"/>
      <family val="2"/>
    </font>
    <font>
      <b/>
      <sz val="10"/>
      <name val="Arial"/>
      <family val="2"/>
    </font>
    <font>
      <b/>
      <sz val="8"/>
      <color indexed="10"/>
      <name val="Tahoma"/>
      <family val="2"/>
    </font>
    <font>
      <b/>
      <sz val="10"/>
      <color indexed="12"/>
      <name val="Arial"/>
      <family val="2"/>
    </font>
    <font>
      <i/>
      <sz val="11"/>
      <color indexed="10"/>
      <name val="Arial"/>
      <family val="2"/>
    </font>
    <font>
      <b/>
      <sz val="12"/>
      <name val="Arial"/>
      <family val="2"/>
    </font>
    <font>
      <b/>
      <sz val="9"/>
      <name val="Tahoma"/>
      <family val="2"/>
    </font>
    <font>
      <b/>
      <sz val="12"/>
      <color indexed="12"/>
      <name val="Arial"/>
      <family val="2"/>
    </font>
    <font>
      <sz val="9"/>
      <color indexed="10"/>
      <name val="Tahoma"/>
      <family val="2"/>
    </font>
    <font>
      <b/>
      <sz val="9"/>
      <color indexed="10"/>
      <name val="Tahoma"/>
      <family val="2"/>
    </font>
    <font>
      <sz val="14"/>
      <name val="Arial"/>
      <family val="2"/>
    </font>
    <font>
      <sz val="10"/>
      <color indexed="10"/>
      <name val="Arial"/>
      <family val="2"/>
    </font>
    <font>
      <b/>
      <sz val="11"/>
      <name val="Tahoma"/>
      <family val="2"/>
    </font>
    <font>
      <sz val="11"/>
      <name val="Tahoma"/>
      <family val="2"/>
    </font>
    <font>
      <i/>
      <sz val="10"/>
      <name val="Arial"/>
      <family val="2"/>
    </font>
    <font>
      <sz val="8"/>
      <name val="Arial"/>
      <family val="2"/>
    </font>
    <font>
      <sz val="8"/>
      <color indexed="10"/>
      <name val="Tahoma"/>
      <family val="2"/>
    </font>
    <font>
      <b/>
      <sz val="11"/>
      <color indexed="10"/>
      <name val="Arial"/>
      <family val="2"/>
    </font>
    <font>
      <b/>
      <sz val="12"/>
      <color indexed="10"/>
      <name val="Arial"/>
      <family val="2"/>
    </font>
    <font>
      <b/>
      <sz val="9"/>
      <color indexed="12"/>
      <name val="Arial"/>
      <family val="2"/>
    </font>
    <font>
      <b/>
      <sz val="11"/>
      <color indexed="12"/>
      <name val="Arial"/>
      <family val="2"/>
    </font>
    <font>
      <sz val="8"/>
      <name val="Tahoma"/>
      <family val="2"/>
    </font>
    <font>
      <i/>
      <sz val="8"/>
      <name val="Arial"/>
      <family val="2"/>
    </font>
    <font>
      <b/>
      <sz val="16"/>
      <color indexed="12"/>
      <name val="Arial"/>
      <family val="2"/>
    </font>
    <font>
      <b/>
      <sz val="13"/>
      <color indexed="10"/>
      <name val="Arial"/>
      <family val="2"/>
    </font>
    <font>
      <sz val="9"/>
      <color indexed="57"/>
      <name val="Arial"/>
      <family val="2"/>
    </font>
    <font>
      <b/>
      <sz val="13"/>
      <color indexed="12"/>
      <name val="Arial"/>
      <family val="2"/>
    </font>
    <font>
      <sz val="12"/>
      <color indexed="12"/>
      <name val="Arial"/>
      <family val="2"/>
    </font>
    <font>
      <sz val="12"/>
      <color indexed="8"/>
      <name val="Arial"/>
      <family val="2"/>
    </font>
    <font>
      <b/>
      <sz val="10"/>
      <color indexed="8"/>
      <name val="Arial"/>
      <family val="2"/>
    </font>
    <font>
      <sz val="10"/>
      <color indexed="12"/>
      <name val="Arial"/>
      <family val="2"/>
    </font>
    <font>
      <sz val="10"/>
      <color indexed="8"/>
      <name val="Arial"/>
      <family val="2"/>
    </font>
    <font>
      <b/>
      <i/>
      <sz val="11"/>
      <color indexed="21"/>
      <name val="Arial"/>
      <family val="2"/>
    </font>
    <font>
      <b/>
      <i/>
      <sz val="11"/>
      <color indexed="10"/>
      <name val="Arial"/>
      <family val="2"/>
    </font>
    <font>
      <b/>
      <i/>
      <sz val="12"/>
      <color indexed="21"/>
      <name val="Arial"/>
      <family val="2"/>
    </font>
    <font>
      <sz val="9"/>
      <color indexed="8"/>
      <name val="Arial"/>
      <family val="2"/>
    </font>
    <font>
      <sz val="9"/>
      <name val="Arial"/>
      <family val="2"/>
    </font>
    <font>
      <sz val="9"/>
      <color indexed="12"/>
      <name val="Arial"/>
      <family val="2"/>
    </font>
    <font>
      <i/>
      <sz val="8"/>
      <color indexed="12"/>
      <name val="Arial"/>
      <family val="2"/>
    </font>
    <font>
      <sz val="11"/>
      <name val="Arial"/>
      <family val="2"/>
    </font>
    <font>
      <b/>
      <sz val="11"/>
      <name val="Arial"/>
      <family val="2"/>
    </font>
    <font>
      <sz val="12"/>
      <color indexed="21"/>
      <name val="Arial"/>
      <family val="2"/>
    </font>
    <font>
      <sz val="8"/>
      <color indexed="12"/>
      <name val="Arial"/>
      <family val="2"/>
    </font>
    <font>
      <sz val="11"/>
      <color indexed="12"/>
      <name val="Arial"/>
      <family val="2"/>
    </font>
    <font>
      <sz val="11"/>
      <color indexed="8"/>
      <name val="Arial"/>
      <family val="2"/>
    </font>
    <font>
      <b/>
      <i/>
      <sz val="11"/>
      <color indexed="13"/>
      <name val="Arial"/>
      <family val="2"/>
    </font>
    <font>
      <b/>
      <i/>
      <sz val="11"/>
      <color indexed="12"/>
      <name val="Arial"/>
      <family val="2"/>
    </font>
    <font>
      <i/>
      <sz val="11"/>
      <color indexed="12"/>
      <name val="Arial"/>
      <family val="2"/>
    </font>
    <font>
      <b/>
      <sz val="10"/>
      <color indexed="17"/>
      <name val="Arial"/>
      <family val="2"/>
    </font>
    <font>
      <i/>
      <sz val="8"/>
      <color indexed="10"/>
      <name val="Arial"/>
      <family val="2"/>
    </font>
    <font>
      <sz val="11"/>
      <color indexed="21"/>
      <name val="Arial"/>
      <family val="2"/>
    </font>
    <font>
      <b/>
      <i/>
      <sz val="9"/>
      <color indexed="12"/>
      <name val="Arial"/>
      <family val="2"/>
    </font>
    <font>
      <i/>
      <sz val="8"/>
      <color indexed="21"/>
      <name val="Arial"/>
      <family val="2"/>
    </font>
    <font>
      <i/>
      <sz val="9"/>
      <color indexed="8"/>
      <name val="Arial"/>
      <family val="2"/>
    </font>
    <font>
      <i/>
      <u val="single"/>
      <sz val="9"/>
      <color indexed="21"/>
      <name val="Arial"/>
      <family val="2"/>
    </font>
    <font>
      <b/>
      <i/>
      <u val="single"/>
      <sz val="9"/>
      <color indexed="10"/>
      <name val="Arial"/>
      <family val="2"/>
    </font>
    <font>
      <b/>
      <i/>
      <u val="single"/>
      <sz val="9"/>
      <color indexed="12"/>
      <name val="Arial"/>
      <family val="2"/>
    </font>
    <font>
      <i/>
      <u val="single"/>
      <sz val="9"/>
      <color indexed="12"/>
      <name val="Arial"/>
      <family val="2"/>
    </font>
    <font>
      <i/>
      <u val="single"/>
      <sz val="9"/>
      <color indexed="8"/>
      <name val="Arial"/>
      <family val="2"/>
    </font>
    <font>
      <i/>
      <sz val="9"/>
      <color indexed="10"/>
      <name val="Arial"/>
      <family val="2"/>
    </font>
    <font>
      <b/>
      <sz val="11"/>
      <color indexed="21"/>
      <name val="Arial"/>
      <family val="2"/>
    </font>
    <font>
      <sz val="10"/>
      <color indexed="30"/>
      <name val="Arial"/>
      <family val="2"/>
    </font>
    <font>
      <b/>
      <sz val="10"/>
      <color indexed="30"/>
      <name val="Arial"/>
      <family val="2"/>
    </font>
    <font>
      <sz val="12"/>
      <color indexed="30"/>
      <name val="Arial"/>
      <family val="2"/>
    </font>
    <font>
      <sz val="10"/>
      <color indexed="60"/>
      <name val="Arial"/>
      <family val="2"/>
    </font>
    <font>
      <i/>
      <sz val="9"/>
      <color indexed="14"/>
      <name val="Arial"/>
      <family val="2"/>
    </font>
    <font>
      <sz val="11"/>
      <color indexed="10"/>
      <name val="Arial"/>
      <family val="2"/>
    </font>
    <font>
      <b/>
      <sz val="11"/>
      <color indexed="8"/>
      <name val="Arial"/>
      <family val="2"/>
    </font>
    <font>
      <b/>
      <i/>
      <sz val="10"/>
      <color indexed="12"/>
      <name val="Arial"/>
      <family val="2"/>
    </font>
    <font>
      <b/>
      <sz val="9"/>
      <color indexed="10"/>
      <name val="Arial"/>
      <family val="2"/>
    </font>
    <font>
      <i/>
      <sz val="8"/>
      <color indexed="56"/>
      <name val="Arial"/>
      <family val="2"/>
    </font>
    <font>
      <i/>
      <sz val="8"/>
      <color indexed="14"/>
      <name val="Arial"/>
      <family val="2"/>
    </font>
    <font>
      <b/>
      <i/>
      <sz val="9"/>
      <color indexed="10"/>
      <name val="Arial"/>
      <family val="2"/>
    </font>
    <font>
      <sz val="10"/>
      <color indexed="61"/>
      <name val="Arial"/>
      <family val="2"/>
    </font>
    <font>
      <b/>
      <sz val="12"/>
      <color indexed="8"/>
      <name val="Arial"/>
      <family val="2"/>
    </font>
    <font>
      <i/>
      <sz val="10"/>
      <color indexed="8"/>
      <name val="Arial"/>
      <family val="2"/>
    </font>
    <font>
      <i/>
      <sz val="12"/>
      <color indexed="8"/>
      <name val="Arial"/>
      <family val="2"/>
    </font>
    <font>
      <sz val="8"/>
      <color indexed="8"/>
      <name val="Arial"/>
      <family val="2"/>
    </font>
    <font>
      <sz val="8"/>
      <color indexed="56"/>
      <name val="Arial"/>
      <family val="2"/>
    </font>
    <font>
      <b/>
      <sz val="8"/>
      <color indexed="10"/>
      <name val="Arial"/>
      <family val="2"/>
    </font>
    <font>
      <b/>
      <sz val="14"/>
      <name val="Arial"/>
      <family val="2"/>
    </font>
    <font>
      <sz val="12"/>
      <name val="Arial"/>
      <family val="2"/>
    </font>
    <font>
      <b/>
      <sz val="9"/>
      <name val="Arial"/>
      <family val="2"/>
    </font>
    <font>
      <sz val="9"/>
      <color indexed="10"/>
      <name val="Arial"/>
      <family val="2"/>
    </font>
    <font>
      <b/>
      <sz val="8"/>
      <name val="Tahoma"/>
      <family val="2"/>
    </font>
    <font>
      <b/>
      <sz val="8"/>
      <color indexed="12"/>
      <name val="Arial"/>
      <family val="2"/>
    </font>
    <font>
      <i/>
      <sz val="10"/>
      <color indexed="10"/>
      <name val="Arial"/>
      <family val="2"/>
    </font>
    <font>
      <i/>
      <sz val="9"/>
      <color indexed="12"/>
      <name val="Arial"/>
      <family val="2"/>
    </font>
    <font>
      <b/>
      <vertAlign val="superscript"/>
      <sz val="10"/>
      <color indexed="8"/>
      <name val="Arial"/>
      <family val="2"/>
    </font>
    <font>
      <b/>
      <i/>
      <u val="single"/>
      <sz val="11"/>
      <color indexed="10"/>
      <name val="Arial"/>
      <family val="2"/>
    </font>
    <font>
      <b/>
      <sz val="11"/>
      <color indexed="57"/>
      <name val="Arial"/>
      <family val="2"/>
    </font>
    <font>
      <i/>
      <sz val="9"/>
      <color indexed="57"/>
      <name val="Arial"/>
      <family val="2"/>
    </font>
    <font>
      <b/>
      <i/>
      <sz val="10"/>
      <color indexed="10"/>
      <name val="Arial"/>
      <family val="2"/>
    </font>
    <font>
      <vertAlign val="subscript"/>
      <sz val="11"/>
      <color indexed="8"/>
      <name val="Arial"/>
      <family val="2"/>
    </font>
    <font>
      <i/>
      <sz val="8"/>
      <color indexed="8"/>
      <name val="Arial"/>
      <family val="2"/>
    </font>
    <font>
      <b/>
      <sz val="8"/>
      <color indexed="12"/>
      <name val="Tahoma"/>
      <family val="2"/>
    </font>
    <font>
      <sz val="8"/>
      <color indexed="12"/>
      <name val="Tahoma"/>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56"/>
      <name val="Arial"/>
      <family val="2"/>
    </font>
    <font>
      <sz val="8"/>
      <color indexed="10"/>
      <name val="Arial"/>
      <family val="2"/>
    </font>
    <font>
      <b/>
      <i/>
      <sz val="10"/>
      <color indexed="9"/>
      <name val="Arial"/>
      <family val="2"/>
    </font>
    <font>
      <b/>
      <sz val="10"/>
      <color indexed="60"/>
      <name val="Arial"/>
      <family val="2"/>
    </font>
    <font>
      <sz val="8"/>
      <color indexed="63"/>
      <name val="Arial"/>
      <family val="2"/>
    </font>
    <font>
      <sz val="11"/>
      <color indexed="56"/>
      <name val="Tahoma"/>
      <family val="2"/>
    </font>
    <font>
      <b/>
      <sz val="11"/>
      <color indexed="10"/>
      <name val="Tahoma"/>
      <family val="2"/>
    </font>
    <font>
      <b/>
      <i/>
      <sz val="8"/>
      <color indexed="9"/>
      <name val="Arial"/>
      <family val="2"/>
    </font>
    <font>
      <b/>
      <sz val="12"/>
      <color indexed="10"/>
      <name val="Times New Roman"/>
      <family val="1"/>
    </font>
    <font>
      <sz val="10"/>
      <color indexed="8"/>
      <name val="Times New Roman"/>
      <family val="1"/>
    </font>
    <font>
      <b/>
      <sz val="9"/>
      <color indexed="10"/>
      <name val="Times New Roman"/>
      <family val="1"/>
    </font>
    <font>
      <sz val="11"/>
      <color indexed="8"/>
      <name val="Calibri"/>
      <family val="2"/>
    </font>
    <font>
      <sz val="11"/>
      <color indexed="10"/>
      <name val="Calibri"/>
      <family val="2"/>
    </font>
    <font>
      <sz val="11"/>
      <color indexed="8"/>
      <name val="Times New Roman"/>
      <family val="1"/>
    </font>
    <font>
      <sz val="11"/>
      <color indexed="10"/>
      <name val="Times New Roman"/>
      <family val="1"/>
    </font>
    <font>
      <b/>
      <sz val="10.5"/>
      <color indexed="10"/>
      <name val="Calibri"/>
      <family val="2"/>
    </font>
    <font>
      <b/>
      <sz val="10.5"/>
      <color indexed="10"/>
      <name val="Times New Roman"/>
      <family val="1"/>
    </font>
    <font>
      <b/>
      <sz val="10"/>
      <color indexed="10"/>
      <name val="Calibri"/>
      <family val="2"/>
    </font>
    <font>
      <b/>
      <sz val="10"/>
      <color indexed="8"/>
      <name val="Calibri"/>
      <family val="2"/>
    </font>
    <font>
      <sz val="10"/>
      <color indexed="8"/>
      <name val="Calibri"/>
      <family val="2"/>
    </font>
    <font>
      <i/>
      <sz val="10"/>
      <color indexed="12"/>
      <name val="Arial"/>
      <family val="2"/>
    </font>
    <font>
      <i/>
      <sz val="10"/>
      <color indexed="14"/>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3"/>
      <name val="Arial"/>
      <family val="2"/>
    </font>
    <font>
      <b/>
      <sz val="10"/>
      <color rgb="FFFF0000"/>
      <name val="Arial"/>
      <family val="2"/>
    </font>
    <font>
      <sz val="8"/>
      <color theme="3"/>
      <name val="Arial"/>
      <family val="2"/>
    </font>
    <font>
      <b/>
      <sz val="12"/>
      <color rgb="FFFF0000"/>
      <name val="Arial"/>
      <family val="2"/>
    </font>
    <font>
      <b/>
      <sz val="11"/>
      <color rgb="FF0000FF"/>
      <name val="Arial"/>
      <family val="2"/>
    </font>
    <font>
      <sz val="12"/>
      <color rgb="FF0000FF"/>
      <name val="Arial"/>
      <family val="2"/>
    </font>
    <font>
      <sz val="10"/>
      <color rgb="FFFF0000"/>
      <name val="Arial"/>
      <family val="2"/>
    </font>
    <font>
      <sz val="8"/>
      <color rgb="FFFF0000"/>
      <name val="Arial"/>
      <family val="2"/>
    </font>
    <font>
      <b/>
      <i/>
      <sz val="10"/>
      <color theme="0"/>
      <name val="Arial"/>
      <family val="2"/>
    </font>
    <font>
      <b/>
      <sz val="10"/>
      <color rgb="FFC00000"/>
      <name val="Arial"/>
      <family val="2"/>
    </font>
    <font>
      <sz val="8"/>
      <color theme="1" tint="0.15000000596046448"/>
      <name val="Arial"/>
      <family val="2"/>
    </font>
    <font>
      <b/>
      <sz val="11"/>
      <color rgb="FFFF0000"/>
      <name val="Arial"/>
      <family val="2"/>
    </font>
    <font>
      <sz val="8"/>
      <color rgb="FF0000FF"/>
      <name val="Arial"/>
      <family val="2"/>
    </font>
    <font>
      <i/>
      <sz val="11"/>
      <color rgb="FFFF0000"/>
      <name val="Arial"/>
      <family val="2"/>
    </font>
    <font>
      <b/>
      <sz val="8"/>
      <color rgb="FFFF0000"/>
      <name val="Arial"/>
      <family val="2"/>
    </font>
    <font>
      <sz val="11"/>
      <color theme="3"/>
      <name val="Tahoma"/>
      <family val="2"/>
    </font>
    <font>
      <b/>
      <sz val="11"/>
      <color rgb="FFFF0000"/>
      <name val="Tahoma"/>
      <family val="2"/>
    </font>
    <font>
      <sz val="9"/>
      <color rgb="FF0000FF"/>
      <name val="Arial"/>
      <family val="2"/>
    </font>
    <font>
      <b/>
      <i/>
      <sz val="8"/>
      <color theme="0"/>
      <name val="Arial"/>
      <family val="2"/>
    </font>
    <font>
      <b/>
      <sz val="9"/>
      <color rgb="FFFF0000"/>
      <name val="Arial"/>
      <family val="2"/>
    </font>
    <font>
      <sz val="9"/>
      <color rgb="FFFF0000"/>
      <name val="Arial"/>
      <family val="2"/>
    </font>
    <font>
      <b/>
      <sz val="8"/>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3" tint="0.7999799847602844"/>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4" tint="0.7999799847602844"/>
        <bgColor indexed="64"/>
      </patternFill>
    </fill>
    <fill>
      <patternFill patternType="solid">
        <fgColor rgb="FF92D050"/>
        <bgColor indexed="64"/>
      </patternFill>
    </fill>
    <fill>
      <patternFill patternType="solid">
        <fgColor indexed="15"/>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2"/>
        <bgColor indexed="64"/>
      </patternFill>
    </fill>
    <fill>
      <patternFill patternType="solid">
        <fgColor theme="0" tint="-0.3499799966812134"/>
        <bgColor indexed="64"/>
      </patternFill>
    </fill>
    <fill>
      <patternFill patternType="solid">
        <fgColor indexed="12"/>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style="thin"/>
      <right style="double"/>
      <top style="thin"/>
      <bottom style="thin"/>
    </border>
    <border>
      <left style="double"/>
      <right>
        <color indexed="63"/>
      </right>
      <top style="thin"/>
      <bottom style="double"/>
    </border>
    <border>
      <left style="thin"/>
      <right style="thin"/>
      <top style="thin"/>
      <bottom style="double"/>
    </border>
    <border>
      <left style="thin"/>
      <right>
        <color indexed="63"/>
      </right>
      <top style="thin"/>
      <bottom style="double"/>
    </border>
    <border>
      <left>
        <color indexed="63"/>
      </left>
      <right>
        <color indexed="63"/>
      </right>
      <top>
        <color indexed="63"/>
      </top>
      <bottom style="double"/>
    </border>
    <border>
      <left style="double"/>
      <right>
        <color indexed="63"/>
      </right>
      <top style="double"/>
      <bottom style="thin"/>
    </border>
    <border>
      <left>
        <color indexed="63"/>
      </left>
      <right>
        <color indexed="63"/>
      </right>
      <top style="double"/>
      <bottom style="thin"/>
    </border>
    <border>
      <left style="double"/>
      <right style="thin"/>
      <top>
        <color indexed="63"/>
      </top>
      <bottom>
        <color indexed="63"/>
      </bottom>
    </border>
    <border>
      <left style="thin"/>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style="thin"/>
      <bottom style="medium"/>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double"/>
      <bottom>
        <color indexed="63"/>
      </bottom>
    </border>
    <border>
      <left style="thin"/>
      <right>
        <color indexed="63"/>
      </right>
      <top style="double"/>
      <bottom style="thin"/>
    </border>
    <border>
      <left style="double"/>
      <right>
        <color indexed="63"/>
      </right>
      <top style="thin"/>
      <bottom style="medium"/>
    </border>
    <border>
      <left style="thin"/>
      <right style="double"/>
      <top style="thin"/>
      <bottom style="double"/>
    </border>
    <border>
      <left>
        <color indexed="63"/>
      </left>
      <right style="thin"/>
      <top>
        <color indexed="63"/>
      </top>
      <bottom style="double"/>
    </border>
    <border>
      <left>
        <color indexed="63"/>
      </left>
      <right style="double"/>
      <top>
        <color indexed="63"/>
      </top>
      <bottom>
        <color indexed="63"/>
      </bottom>
    </border>
    <border>
      <left style="double"/>
      <right style="thin"/>
      <top style="double"/>
      <bottom style="thin"/>
    </border>
    <border>
      <left style="thin"/>
      <right style="double"/>
      <top style="double"/>
      <bottom style="thin"/>
    </border>
    <border>
      <left>
        <color indexed="63"/>
      </left>
      <right style="double"/>
      <top style="double"/>
      <bottom style="thin"/>
    </border>
    <border>
      <left style="double"/>
      <right style="thin"/>
      <top style="thin"/>
      <bottom style="thin"/>
    </border>
    <border>
      <left style="double"/>
      <right style="thin"/>
      <top style="thin"/>
      <bottom>
        <color indexed="63"/>
      </bottom>
    </border>
    <border>
      <left style="thin"/>
      <right style="double"/>
      <top>
        <color indexed="63"/>
      </top>
      <bottom>
        <color indexed="63"/>
      </bottom>
    </border>
    <border>
      <left style="double"/>
      <right style="thin"/>
      <top style="thin"/>
      <bottom style="double"/>
    </border>
    <border>
      <left style="double"/>
      <right style="thin"/>
      <top>
        <color indexed="63"/>
      </top>
      <bottom style="double"/>
    </border>
    <border>
      <left style="thin"/>
      <right style="thin"/>
      <top>
        <color indexed="63"/>
      </top>
      <bottom style="double"/>
    </border>
    <border>
      <left style="double"/>
      <right>
        <color indexed="63"/>
      </right>
      <top>
        <color indexed="63"/>
      </top>
      <bottom>
        <color indexed="63"/>
      </bottom>
    </border>
    <border>
      <left style="thin"/>
      <right>
        <color indexed="63"/>
      </right>
      <top>
        <color indexed="63"/>
      </top>
      <bottom>
        <color indexed="63"/>
      </bottom>
    </border>
    <border>
      <left style="medium"/>
      <right style="thin"/>
      <top style="thin"/>
      <bottom style="thin"/>
    </border>
    <border>
      <left>
        <color indexed="63"/>
      </left>
      <right style="thin"/>
      <top style="medium"/>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color indexed="63"/>
      </top>
      <bottom style="double"/>
    </border>
    <border>
      <left style="thin"/>
      <right style="double"/>
      <top>
        <color indexed="63"/>
      </top>
      <bottom style="double"/>
    </border>
    <border>
      <left style="thin"/>
      <right style="thin"/>
      <top style="double"/>
      <bottom style="thin"/>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style="thin"/>
      <right style="double"/>
      <top>
        <color indexed="63"/>
      </top>
      <bottom style="thin"/>
    </border>
    <border>
      <left style="thin"/>
      <right style="double"/>
      <top style="thin"/>
      <bottom>
        <color indexed="63"/>
      </bottom>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double"/>
      <right style="thin"/>
      <top>
        <color indexed="63"/>
      </top>
      <bottom style="thin"/>
    </border>
    <border>
      <left style="thin"/>
      <right style="thin"/>
      <top>
        <color indexed="63"/>
      </top>
      <bottom style="medium"/>
    </border>
    <border>
      <left style="thin"/>
      <right style="double"/>
      <top>
        <color indexed="63"/>
      </top>
      <bottom style="mediu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0"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8" fillId="25" borderId="0" applyNumberFormat="0" applyBorder="0" applyAlignment="0" applyProtection="0"/>
    <xf numFmtId="0" fontId="149" fillId="26" borderId="1" applyNumberFormat="0" applyAlignment="0" applyProtection="0"/>
    <xf numFmtId="0" fontId="1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3" fillId="0" borderId="0" applyNumberFormat="0" applyFill="0" applyBorder="0" applyAlignment="0" applyProtection="0"/>
    <xf numFmtId="0" fontId="152" fillId="28"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2" fillId="0" borderId="0" applyNumberFormat="0" applyFill="0" applyBorder="0" applyAlignment="0" applyProtection="0"/>
    <xf numFmtId="0" fontId="156" fillId="29" borderId="1" applyNumberFormat="0" applyAlignment="0" applyProtection="0"/>
    <xf numFmtId="0" fontId="157" fillId="0" borderId="6" applyNumberFormat="0" applyFill="0" applyAlignment="0" applyProtection="0"/>
    <xf numFmtId="0" fontId="158" fillId="30" borderId="0" applyNumberFormat="0" applyBorder="0" applyAlignment="0" applyProtection="0"/>
    <xf numFmtId="0" fontId="0" fillId="31" borderId="7" applyNumberFormat="0" applyFont="0" applyAlignment="0" applyProtection="0"/>
    <xf numFmtId="0" fontId="159" fillId="26"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552">
    <xf numFmtId="0" fontId="0" fillId="0" borderId="0" xfId="0" applyAlignment="1">
      <alignment/>
    </xf>
    <xf numFmtId="0" fontId="10" fillId="32"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34" fillId="34" borderId="0" xfId="0" applyFont="1" applyFill="1" applyBorder="1" applyAlignment="1" applyProtection="1">
      <alignment horizontal="center" vertical="center"/>
      <protection/>
    </xf>
    <xf numFmtId="0" fontId="35" fillId="34" borderId="0" xfId="0" applyFont="1" applyFill="1" applyBorder="1" applyAlignment="1" applyProtection="1">
      <alignment vertical="top"/>
      <protection/>
    </xf>
    <xf numFmtId="0" fontId="36" fillId="34" borderId="0" xfId="0" applyFont="1" applyFill="1" applyBorder="1" applyAlignment="1" applyProtection="1">
      <alignment horizontal="center" vertical="center"/>
      <protection/>
    </xf>
    <xf numFmtId="0" fontId="17" fillId="34" borderId="0" xfId="0" applyFont="1" applyFill="1" applyAlignment="1" applyProtection="1">
      <alignment horizontal="center" vertical="center"/>
      <protection/>
    </xf>
    <xf numFmtId="0" fontId="37" fillId="35" borderId="0" xfId="0" applyFont="1" applyFill="1" applyAlignment="1" applyProtection="1">
      <alignment horizontal="center" vertical="center"/>
      <protection/>
    </xf>
    <xf numFmtId="0" fontId="38" fillId="35" borderId="0" xfId="0" applyFont="1" applyFill="1" applyAlignment="1" applyProtection="1">
      <alignment horizontal="left" vertical="center"/>
      <protection/>
    </xf>
    <xf numFmtId="0" fontId="38" fillId="35" borderId="0" xfId="0" applyFont="1" applyFill="1" applyAlignment="1" applyProtection="1">
      <alignment horizontal="center" vertical="center"/>
      <protection/>
    </xf>
    <xf numFmtId="0" fontId="38" fillId="0" borderId="0" xfId="0" applyFont="1" applyAlignment="1" applyProtection="1">
      <alignment horizontal="center" vertical="center"/>
      <protection/>
    </xf>
    <xf numFmtId="0" fontId="39" fillId="34" borderId="0" xfId="0" applyFont="1" applyFill="1" applyBorder="1" applyAlignment="1" applyProtection="1">
      <alignment horizontal="center" vertical="center"/>
      <protection/>
    </xf>
    <xf numFmtId="0" fontId="40" fillId="34" borderId="0" xfId="0" applyFont="1" applyFill="1" applyBorder="1" applyAlignment="1" applyProtection="1">
      <alignment horizontal="center"/>
      <protection/>
    </xf>
    <xf numFmtId="0" fontId="13" fillId="34" borderId="0" xfId="0" applyFont="1" applyFill="1" applyAlignment="1" applyProtection="1">
      <alignment horizontal="center" vertical="center"/>
      <protection/>
    </xf>
    <xf numFmtId="0" fontId="40" fillId="35" borderId="0" xfId="0" applyFont="1" applyFill="1" applyAlignment="1" applyProtection="1">
      <alignment horizontal="center" vertical="center"/>
      <protection/>
    </xf>
    <xf numFmtId="0" fontId="41" fillId="35" borderId="0" xfId="0" applyFont="1" applyFill="1" applyAlignment="1" applyProtection="1">
      <alignment horizontal="center" vertical="center"/>
      <protection/>
    </xf>
    <xf numFmtId="0" fontId="41" fillId="0" borderId="0" xfId="0" applyFont="1" applyAlignment="1" applyProtection="1">
      <alignment horizontal="center" vertical="center"/>
      <protection/>
    </xf>
    <xf numFmtId="0" fontId="44" fillId="34" borderId="0" xfId="0" applyFont="1" applyFill="1" applyBorder="1" applyAlignment="1" applyProtection="1">
      <alignment vertical="center"/>
      <protection/>
    </xf>
    <xf numFmtId="0" fontId="45" fillId="36" borderId="10" xfId="0" applyFont="1" applyFill="1" applyBorder="1" applyAlignment="1" applyProtection="1">
      <alignment horizontal="center" vertical="center" wrapText="1"/>
      <protection/>
    </xf>
    <xf numFmtId="0" fontId="45" fillId="34" borderId="0" xfId="0" applyFont="1" applyFill="1" applyBorder="1" applyAlignment="1" applyProtection="1">
      <alignment horizontal="center" vertical="center" wrapText="1"/>
      <protection/>
    </xf>
    <xf numFmtId="0" fontId="46" fillId="34" borderId="0" xfId="0" applyFont="1" applyFill="1" applyBorder="1" applyAlignment="1" applyProtection="1">
      <alignment vertical="center" wrapText="1"/>
      <protection/>
    </xf>
    <xf numFmtId="0" fontId="47" fillId="34" borderId="0" xfId="0" applyFont="1" applyFill="1" applyBorder="1" applyAlignment="1" applyProtection="1">
      <alignment horizontal="center" vertical="center" wrapText="1"/>
      <protection/>
    </xf>
    <xf numFmtId="0" fontId="48" fillId="34" borderId="0" xfId="0" applyFont="1" applyFill="1" applyBorder="1" applyAlignment="1" applyProtection="1">
      <alignment horizontal="center" wrapText="1"/>
      <protection/>
    </xf>
    <xf numFmtId="0" fontId="29" fillId="34" borderId="0" xfId="0" applyFont="1" applyFill="1" applyAlignment="1" applyProtection="1">
      <alignment horizontal="center" vertical="center"/>
      <protection/>
    </xf>
    <xf numFmtId="0" fontId="47" fillId="35" borderId="0" xfId="0" applyFont="1" applyFill="1" applyAlignment="1" applyProtection="1">
      <alignment horizontal="center" vertical="center"/>
      <protection/>
    </xf>
    <xf numFmtId="0" fontId="45" fillId="35" borderId="0" xfId="0" applyFont="1" applyFill="1" applyAlignment="1" applyProtection="1">
      <alignment horizontal="center" vertical="center"/>
      <protection/>
    </xf>
    <xf numFmtId="0" fontId="45" fillId="0" borderId="0" xfId="0" applyFont="1" applyAlignment="1" applyProtection="1">
      <alignment horizontal="center" vertical="center"/>
      <protection/>
    </xf>
    <xf numFmtId="0" fontId="49" fillId="34" borderId="0" xfId="0" applyFont="1" applyFill="1" applyBorder="1" applyAlignment="1" applyProtection="1">
      <alignment horizontal="center" vertical="center" wrapText="1"/>
      <protection/>
    </xf>
    <xf numFmtId="0" fontId="50" fillId="34" borderId="0" xfId="0" applyFont="1" applyFill="1" applyBorder="1" applyAlignment="1" applyProtection="1">
      <alignment horizontal="center" vertical="center" wrapText="1"/>
      <protection/>
    </xf>
    <xf numFmtId="0" fontId="50" fillId="34" borderId="0" xfId="0" applyFont="1" applyFill="1" applyAlignment="1" applyProtection="1">
      <alignment horizontal="center" vertical="center"/>
      <protection/>
    </xf>
    <xf numFmtId="0" fontId="49" fillId="35" borderId="0" xfId="0" applyFont="1" applyFill="1" applyAlignment="1" applyProtection="1">
      <alignment horizontal="center" vertical="center"/>
      <protection/>
    </xf>
    <xf numFmtId="0" fontId="49" fillId="0" borderId="0" xfId="0" applyFont="1" applyAlignment="1" applyProtection="1">
      <alignment horizontal="center" vertical="center"/>
      <protection/>
    </xf>
    <xf numFmtId="0" fontId="51" fillId="34" borderId="0" xfId="0" applyFont="1" applyFill="1" applyBorder="1" applyAlignment="1" applyProtection="1">
      <alignment horizontal="center" vertical="center" wrapText="1"/>
      <protection/>
    </xf>
    <xf numFmtId="0" fontId="28"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left" vertical="center" wrapText="1"/>
      <protection/>
    </xf>
    <xf numFmtId="0" fontId="46" fillId="5" borderId="12" xfId="0" applyFont="1" applyFill="1" applyBorder="1" applyAlignment="1" applyProtection="1">
      <alignment vertical="center" wrapText="1"/>
      <protection/>
    </xf>
    <xf numFmtId="0" fontId="46" fillId="5" borderId="13" xfId="0" applyFont="1" applyFill="1" applyBorder="1" applyAlignment="1" applyProtection="1">
      <alignment horizontal="center" vertical="center" wrapText="1"/>
      <protection/>
    </xf>
    <xf numFmtId="0" fontId="46" fillId="5" borderId="10" xfId="0" applyFont="1" applyFill="1" applyBorder="1" applyAlignment="1" applyProtection="1">
      <alignment horizontal="center" vertical="center" wrapText="1"/>
      <protection/>
    </xf>
    <xf numFmtId="0" fontId="46" fillId="5" borderId="14" xfId="0" applyFont="1" applyFill="1" applyBorder="1" applyAlignment="1" applyProtection="1">
      <alignment horizontal="center" vertical="center" wrapText="1"/>
      <protection/>
    </xf>
    <xf numFmtId="3" fontId="46" fillId="5" borderId="14" xfId="0" applyNumberFormat="1" applyFont="1" applyFill="1" applyBorder="1" applyAlignment="1" applyProtection="1">
      <alignment horizontal="center" vertical="center" wrapText="1"/>
      <protection/>
    </xf>
    <xf numFmtId="3" fontId="46" fillId="5" borderId="15" xfId="0" applyNumberFormat="1" applyFont="1" applyFill="1" applyBorder="1" applyAlignment="1" applyProtection="1">
      <alignment horizontal="center" vertical="center" wrapText="1"/>
      <protection/>
    </xf>
    <xf numFmtId="0" fontId="46" fillId="34" borderId="0" xfId="0" applyFont="1" applyFill="1" applyBorder="1" applyAlignment="1" applyProtection="1">
      <alignment horizontal="center" vertical="center" wrapText="1"/>
      <protection/>
    </xf>
    <xf numFmtId="0" fontId="40" fillId="37" borderId="16" xfId="0" applyFont="1" applyFill="1" applyBorder="1" applyAlignment="1" applyProtection="1">
      <alignment horizontal="center" vertical="center" wrapText="1"/>
      <protection locked="0"/>
    </xf>
    <xf numFmtId="0" fontId="40" fillId="34" borderId="17" xfId="0" applyFont="1" applyFill="1" applyBorder="1" applyAlignment="1" applyProtection="1">
      <alignment horizontal="center" vertical="center" wrapText="1"/>
      <protection/>
    </xf>
    <xf numFmtId="0" fontId="40" fillId="34" borderId="18" xfId="0" applyFont="1" applyFill="1" applyBorder="1" applyAlignment="1" applyProtection="1">
      <alignment horizontal="center" vertical="center" wrapText="1"/>
      <protection/>
    </xf>
    <xf numFmtId="0" fontId="27" fillId="34" borderId="0" xfId="0" applyFont="1" applyFill="1" applyBorder="1" applyAlignment="1" applyProtection="1">
      <alignment vertical="center" wrapText="1"/>
      <protection/>
    </xf>
    <xf numFmtId="0" fontId="27" fillId="34" borderId="0" xfId="0" applyFont="1" applyFill="1" applyBorder="1" applyAlignment="1" applyProtection="1">
      <alignment horizontal="center" vertical="center" wrapText="1"/>
      <protection/>
    </xf>
    <xf numFmtId="0" fontId="30" fillId="34" borderId="0" xfId="0" applyFont="1" applyFill="1" applyBorder="1" applyAlignment="1" applyProtection="1">
      <alignment horizontal="center" vertical="center" wrapText="1"/>
      <protection/>
    </xf>
    <xf numFmtId="0" fontId="30" fillId="34" borderId="0" xfId="0" applyFont="1" applyFill="1" applyAlignment="1" applyProtection="1">
      <alignment horizontal="center" vertical="center"/>
      <protection/>
    </xf>
    <xf numFmtId="0" fontId="53" fillId="35" borderId="0" xfId="0" applyFont="1" applyFill="1" applyAlignment="1" applyProtection="1">
      <alignment horizontal="center" vertical="center"/>
      <protection/>
    </xf>
    <xf numFmtId="0" fontId="54" fillId="35" borderId="0" xfId="0" applyFont="1" applyFill="1" applyAlignment="1" applyProtection="1">
      <alignment horizontal="center" vertical="center"/>
      <protection/>
    </xf>
    <xf numFmtId="0" fontId="54" fillId="0" borderId="0" xfId="0" applyFont="1" applyAlignment="1" applyProtection="1">
      <alignment horizontal="center" vertical="center"/>
      <protection/>
    </xf>
    <xf numFmtId="0" fontId="28" fillId="34" borderId="0" xfId="0" applyFont="1" applyFill="1" applyBorder="1" applyAlignment="1" applyProtection="1">
      <alignment vertical="center" wrapText="1"/>
      <protection/>
    </xf>
    <xf numFmtId="0" fontId="17" fillId="35" borderId="0" xfId="0" applyFont="1" applyFill="1" applyAlignment="1" applyProtection="1">
      <alignment horizontal="center" vertical="center"/>
      <protection/>
    </xf>
    <xf numFmtId="0" fontId="41" fillId="35" borderId="0" xfId="0" applyFont="1" applyFill="1" applyAlignment="1" applyProtection="1">
      <alignment horizontal="left" vertical="center"/>
      <protection/>
    </xf>
    <xf numFmtId="0" fontId="56" fillId="34" borderId="0" xfId="0" applyFont="1" applyFill="1" applyBorder="1" applyAlignment="1" applyProtection="1">
      <alignment horizontal="left" vertical="center" wrapText="1"/>
      <protection/>
    </xf>
    <xf numFmtId="0" fontId="54" fillId="34"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3" fontId="57" fillId="35" borderId="0" xfId="0" applyNumberFormat="1" applyFont="1" applyFill="1" applyAlignment="1" applyProtection="1">
      <alignment horizontal="center" vertical="center"/>
      <protection/>
    </xf>
    <xf numFmtId="0" fontId="30" fillId="35" borderId="0" xfId="0" applyFont="1" applyFill="1" applyAlignment="1" applyProtection="1">
      <alignment horizontal="center" vertical="center"/>
      <protection/>
    </xf>
    <xf numFmtId="0" fontId="58" fillId="32" borderId="0" xfId="0" applyFont="1" applyFill="1" applyBorder="1" applyAlignment="1" applyProtection="1">
      <alignment horizontal="left" vertical="center"/>
      <protection/>
    </xf>
    <xf numFmtId="188" fontId="58" fillId="32" borderId="0" xfId="0" applyNumberFormat="1" applyFont="1" applyFill="1" applyBorder="1" applyAlignment="1" applyProtection="1">
      <alignment horizontal="right" vertical="center"/>
      <protection/>
    </xf>
    <xf numFmtId="0" fontId="60" fillId="34" borderId="0" xfId="0" applyFont="1" applyFill="1" applyBorder="1" applyAlignment="1" applyProtection="1">
      <alignment horizontal="left" vertical="center"/>
      <protection/>
    </xf>
    <xf numFmtId="0" fontId="61" fillId="34" borderId="0" xfId="0" applyFont="1" applyFill="1" applyBorder="1" applyAlignment="1" applyProtection="1">
      <alignment wrapText="1"/>
      <protection/>
    </xf>
    <xf numFmtId="0" fontId="62" fillId="34" borderId="0" xfId="0" applyFont="1" applyFill="1" applyBorder="1" applyAlignment="1" applyProtection="1">
      <alignment vertical="center" wrapText="1"/>
      <protection/>
    </xf>
    <xf numFmtId="0" fontId="1" fillId="32" borderId="0" xfId="0" applyFont="1" applyFill="1" applyBorder="1" applyAlignment="1" applyProtection="1">
      <alignment horizontal="left" vertical="center"/>
      <protection/>
    </xf>
    <xf numFmtId="188" fontId="1" fillId="32" borderId="0" xfId="0" applyNumberFormat="1" applyFont="1" applyFill="1" applyBorder="1" applyAlignment="1" applyProtection="1">
      <alignment horizontal="right" vertical="center"/>
      <protection/>
    </xf>
    <xf numFmtId="0" fontId="45" fillId="35" borderId="0" xfId="0" applyFont="1" applyFill="1" applyAlignment="1" applyProtection="1">
      <alignment horizontal="left" vertical="center"/>
      <protection/>
    </xf>
    <xf numFmtId="0" fontId="54" fillId="35" borderId="0" xfId="0" applyFont="1" applyFill="1" applyAlignment="1" applyProtection="1">
      <alignment horizontal="left" vertical="center"/>
      <protection/>
    </xf>
    <xf numFmtId="0" fontId="1" fillId="32" borderId="19" xfId="0" applyFont="1" applyFill="1" applyBorder="1" applyAlignment="1" applyProtection="1">
      <alignment horizontal="left" vertical="center"/>
      <protection/>
    </xf>
    <xf numFmtId="188" fontId="1" fillId="32" borderId="19" xfId="0" applyNumberFormat="1" applyFont="1" applyFill="1" applyBorder="1" applyAlignment="1" applyProtection="1">
      <alignment horizontal="right" vertical="center"/>
      <protection/>
    </xf>
    <xf numFmtId="0" fontId="63" fillId="0" borderId="0" xfId="0" applyFont="1" applyFill="1" applyBorder="1" applyAlignment="1" applyProtection="1">
      <alignment horizontal="right" vertical="center"/>
      <protection/>
    </xf>
    <xf numFmtId="0" fontId="64" fillId="34" borderId="0" xfId="0" applyFont="1" applyFill="1" applyBorder="1" applyAlignment="1" applyProtection="1">
      <alignment horizontal="center" vertical="center"/>
      <protection/>
    </xf>
    <xf numFmtId="0" fontId="65" fillId="34" borderId="0" xfId="0" applyFont="1" applyFill="1" applyBorder="1" applyAlignment="1" applyProtection="1">
      <alignment horizontal="center" vertical="center" wrapText="1"/>
      <protection/>
    </xf>
    <xf numFmtId="0" fontId="66" fillId="34" borderId="0" xfId="0" applyFont="1" applyFill="1" applyBorder="1" applyAlignment="1" applyProtection="1">
      <alignment horizontal="center" vertical="center" wrapText="1"/>
      <protection/>
    </xf>
    <xf numFmtId="0" fontId="66" fillId="34" borderId="0" xfId="0" applyFont="1" applyFill="1" applyAlignment="1" applyProtection="1">
      <alignment horizontal="center" vertical="center"/>
      <protection/>
    </xf>
    <xf numFmtId="0" fontId="67" fillId="35" borderId="0" xfId="0" applyFont="1" applyFill="1" applyAlignment="1" applyProtection="1">
      <alignment horizontal="center" vertical="center"/>
      <protection/>
    </xf>
    <xf numFmtId="0" fontId="68" fillId="35" borderId="0" xfId="0" applyFont="1" applyFill="1" applyAlignment="1" applyProtection="1">
      <alignment horizontal="center" vertical="center"/>
      <protection/>
    </xf>
    <xf numFmtId="0" fontId="68" fillId="0" borderId="0" xfId="0" applyFont="1" applyAlignment="1" applyProtection="1">
      <alignment horizontal="center" vertical="center"/>
      <protection/>
    </xf>
    <xf numFmtId="0" fontId="54" fillId="0" borderId="0" xfId="0" applyFont="1" applyAlignment="1" applyProtection="1">
      <alignment horizontal="center" vertical="top"/>
      <protection/>
    </xf>
    <xf numFmtId="0" fontId="60" fillId="34" borderId="0" xfId="0" applyFont="1" applyFill="1" applyBorder="1" applyAlignment="1" applyProtection="1">
      <alignment horizontal="left" vertical="top"/>
      <protection/>
    </xf>
    <xf numFmtId="0" fontId="27" fillId="34" borderId="0" xfId="0" applyFont="1" applyFill="1" applyBorder="1" applyAlignment="1" applyProtection="1">
      <alignment horizontal="center" vertical="top" wrapText="1"/>
      <protection/>
    </xf>
    <xf numFmtId="0" fontId="30" fillId="34" borderId="0" xfId="0" applyFont="1" applyFill="1" applyBorder="1" applyAlignment="1" applyProtection="1">
      <alignment horizontal="center" vertical="top" wrapText="1"/>
      <protection/>
    </xf>
    <xf numFmtId="0" fontId="30" fillId="34" borderId="0" xfId="0" applyFont="1" applyFill="1" applyAlignment="1" applyProtection="1">
      <alignment horizontal="center" vertical="top"/>
      <protection/>
    </xf>
    <xf numFmtId="0" fontId="53" fillId="35" borderId="0" xfId="0" applyFont="1" applyFill="1" applyAlignment="1" applyProtection="1">
      <alignment horizontal="center" vertical="top"/>
      <protection/>
    </xf>
    <xf numFmtId="0" fontId="41" fillId="35" borderId="0" xfId="0" applyFont="1" applyFill="1" applyAlignment="1" applyProtection="1">
      <alignment horizontal="left" vertical="top"/>
      <protection/>
    </xf>
    <xf numFmtId="0" fontId="54" fillId="35" borderId="0" xfId="0" applyFont="1" applyFill="1" applyAlignment="1" applyProtection="1">
      <alignment horizontal="center" vertical="top"/>
      <protection/>
    </xf>
    <xf numFmtId="0" fontId="71" fillId="4" borderId="10" xfId="0" applyFont="1" applyFill="1" applyBorder="1" applyAlignment="1" applyProtection="1">
      <alignment horizontal="center" vertical="center"/>
      <protection/>
    </xf>
    <xf numFmtId="0" fontId="27" fillId="34" borderId="0" xfId="0" applyFont="1" applyFill="1" applyBorder="1" applyAlignment="1" applyProtection="1">
      <alignment vertical="center"/>
      <protection/>
    </xf>
    <xf numFmtId="0" fontId="37" fillId="34" borderId="0" xfId="0" applyFont="1" applyFill="1" applyBorder="1" applyAlignment="1" applyProtection="1">
      <alignment horizontal="center" vertical="center"/>
      <protection/>
    </xf>
    <xf numFmtId="0" fontId="73" fillId="35" borderId="0" xfId="0" applyFont="1" applyFill="1" applyAlignment="1" applyProtection="1">
      <alignment horizontal="left" vertical="center"/>
      <protection/>
    </xf>
    <xf numFmtId="0" fontId="73" fillId="35" borderId="0" xfId="0" applyFont="1" applyFill="1" applyAlignment="1" applyProtection="1">
      <alignment horizontal="center" vertical="center"/>
      <protection/>
    </xf>
    <xf numFmtId="0" fontId="73" fillId="0" borderId="0" xfId="0" applyFont="1" applyAlignment="1" applyProtection="1">
      <alignment horizontal="center" vertical="center"/>
      <protection/>
    </xf>
    <xf numFmtId="0" fontId="77" fillId="34" borderId="0" xfId="0" applyFont="1" applyFill="1" applyAlignment="1" applyProtection="1">
      <alignment horizontal="center" vertical="center"/>
      <protection/>
    </xf>
    <xf numFmtId="0" fontId="77" fillId="35" borderId="0" xfId="0" applyFont="1" applyFill="1" applyAlignment="1" applyProtection="1">
      <alignment horizontal="center" vertical="center"/>
      <protection/>
    </xf>
    <xf numFmtId="0" fontId="77" fillId="0" borderId="0" xfId="0" applyFont="1" applyAlignment="1" applyProtection="1">
      <alignment horizontal="center" vertical="center"/>
      <protection/>
    </xf>
    <xf numFmtId="0" fontId="74" fillId="4" borderId="10" xfId="0" applyFont="1" applyFill="1" applyBorder="1" applyAlignment="1" applyProtection="1">
      <alignment horizontal="center" vertical="center"/>
      <protection/>
    </xf>
    <xf numFmtId="0" fontId="47" fillId="10" borderId="20" xfId="0" applyFont="1" applyFill="1" applyBorder="1" applyAlignment="1" applyProtection="1">
      <alignment vertical="center"/>
      <protection/>
    </xf>
    <xf numFmtId="0" fontId="47" fillId="10" borderId="21" xfId="0" applyFont="1" applyFill="1" applyBorder="1" applyAlignment="1" applyProtection="1">
      <alignment vertical="center"/>
      <protection/>
    </xf>
    <xf numFmtId="188" fontId="53" fillId="35" borderId="0" xfId="0" applyNumberFormat="1" applyFont="1" applyFill="1" applyAlignment="1" applyProtection="1">
      <alignment horizontal="center" vertical="center"/>
      <protection/>
    </xf>
    <xf numFmtId="0" fontId="48" fillId="10" borderId="22" xfId="0" applyFont="1" applyFill="1" applyBorder="1" applyAlignment="1" applyProtection="1">
      <alignment horizontal="center" vertical="center" wrapText="1"/>
      <protection/>
    </xf>
    <xf numFmtId="0" fontId="48" fillId="10" borderId="23" xfId="0" applyFont="1" applyFill="1" applyBorder="1" applyAlignment="1" applyProtection="1">
      <alignment horizontal="center" vertical="center" wrapText="1"/>
      <protection/>
    </xf>
    <xf numFmtId="0" fontId="83" fillId="4" borderId="17" xfId="0" applyFont="1" applyFill="1" applyBorder="1" applyAlignment="1" applyProtection="1">
      <alignment horizontal="center" vertical="center"/>
      <protection/>
    </xf>
    <xf numFmtId="0" fontId="59" fillId="34" borderId="0" xfId="0" applyFont="1" applyFill="1" applyBorder="1" applyAlignment="1" applyProtection="1">
      <alignment vertical="center" wrapText="1"/>
      <protection/>
    </xf>
    <xf numFmtId="0" fontId="59" fillId="35" borderId="0" xfId="0" applyFont="1" applyFill="1" applyBorder="1" applyAlignment="1" applyProtection="1">
      <alignment vertical="center" wrapText="1"/>
      <protection/>
    </xf>
    <xf numFmtId="188" fontId="37" fillId="35" borderId="0" xfId="0" applyNumberFormat="1" applyFont="1" applyFill="1" applyAlignment="1" applyProtection="1">
      <alignment horizontal="center" vertical="center"/>
      <protection/>
    </xf>
    <xf numFmtId="0" fontId="84" fillId="35" borderId="0" xfId="0" applyFont="1" applyFill="1" applyAlignment="1" applyProtection="1">
      <alignment horizontal="center" vertical="center"/>
      <protection/>
    </xf>
    <xf numFmtId="0" fontId="84" fillId="0" borderId="0" xfId="0" applyFont="1" applyAlignment="1" applyProtection="1">
      <alignment horizontal="center" vertical="center"/>
      <protection/>
    </xf>
    <xf numFmtId="0" fontId="38" fillId="34" borderId="0" xfId="0" applyFont="1" applyFill="1" applyAlignment="1" applyProtection="1">
      <alignment horizontal="center" vertical="center"/>
      <protection/>
    </xf>
    <xf numFmtId="43" fontId="84" fillId="34" borderId="0" xfId="0" applyNumberFormat="1" applyFont="1" applyFill="1" applyAlignment="1" applyProtection="1">
      <alignment horizontal="center" vertical="center"/>
      <protection/>
    </xf>
    <xf numFmtId="0" fontId="17" fillId="35" borderId="0" xfId="0" applyFont="1" applyFill="1" applyAlignment="1" applyProtection="1">
      <alignment horizontal="right" vertical="center"/>
      <protection/>
    </xf>
    <xf numFmtId="0" fontId="56" fillId="35" borderId="0" xfId="0" applyFont="1" applyFill="1" applyAlignment="1" applyProtection="1">
      <alignment horizontal="center" vertical="center"/>
      <protection/>
    </xf>
    <xf numFmtId="1" fontId="15" fillId="38" borderId="10" xfId="0" applyNumberFormat="1" applyFont="1" applyFill="1" applyBorder="1" applyAlignment="1">
      <alignment horizontal="center" vertical="center"/>
    </xf>
    <xf numFmtId="1" fontId="163" fillId="39" borderId="10" xfId="0" applyNumberFormat="1" applyFont="1" applyFill="1" applyBorder="1" applyAlignment="1">
      <alignment horizontal="center" vertical="center"/>
    </xf>
    <xf numFmtId="1" fontId="0" fillId="40" borderId="10" xfId="0" applyNumberFormat="1" applyFill="1" applyBorder="1" applyAlignment="1">
      <alignment horizontal="center" vertical="center"/>
    </xf>
    <xf numFmtId="0" fontId="0" fillId="40" borderId="10" xfId="0" applyFill="1" applyBorder="1" applyAlignment="1">
      <alignment horizontal="center" vertical="center"/>
    </xf>
    <xf numFmtId="0" fontId="0" fillId="40" borderId="10" xfId="0" applyFont="1" applyFill="1" applyBorder="1" applyAlignment="1">
      <alignment horizontal="center" vertical="center"/>
    </xf>
    <xf numFmtId="0" fontId="0" fillId="39" borderId="0" xfId="0" applyFill="1" applyAlignment="1">
      <alignment/>
    </xf>
    <xf numFmtId="0" fontId="0" fillId="39" borderId="0" xfId="0" applyFont="1" applyFill="1" applyAlignment="1">
      <alignment horizontal="right"/>
    </xf>
    <xf numFmtId="0" fontId="0" fillId="39" borderId="0" xfId="0" applyFill="1" applyAlignment="1">
      <alignment horizontal="right"/>
    </xf>
    <xf numFmtId="0" fontId="0" fillId="39" borderId="0" xfId="0" applyFill="1" applyAlignment="1">
      <alignment horizontal="left"/>
    </xf>
    <xf numFmtId="1" fontId="164" fillId="39" borderId="0" xfId="0" applyNumberFormat="1" applyFont="1" applyFill="1" applyAlignment="1">
      <alignment/>
    </xf>
    <xf numFmtId="0" fontId="0" fillId="39" borderId="0" xfId="0" applyFont="1" applyFill="1" applyAlignment="1">
      <alignment/>
    </xf>
    <xf numFmtId="0" fontId="92" fillId="39" borderId="14" xfId="0" applyFont="1" applyFill="1" applyBorder="1" applyAlignment="1">
      <alignment vertical="center"/>
    </xf>
    <xf numFmtId="0" fontId="46" fillId="39" borderId="13" xfId="0" applyFont="1" applyFill="1" applyBorder="1" applyAlignment="1">
      <alignment vertical="center"/>
    </xf>
    <xf numFmtId="1" fontId="164" fillId="39" borderId="0" xfId="0" applyNumberFormat="1" applyFont="1" applyFill="1" applyAlignment="1">
      <alignment horizontal="left"/>
    </xf>
    <xf numFmtId="1" fontId="50" fillId="38" borderId="24" xfId="0" applyNumberFormat="1" applyFont="1" applyFill="1" applyBorder="1" applyAlignment="1">
      <alignment horizontal="center" vertical="center"/>
    </xf>
    <xf numFmtId="0" fontId="165" fillId="40" borderId="13" xfId="0" applyFont="1" applyFill="1" applyBorder="1" applyAlignment="1">
      <alignment horizontal="center" vertical="center" wrapText="1"/>
    </xf>
    <xf numFmtId="0" fontId="50" fillId="41" borderId="25" xfId="0" applyFont="1" applyFill="1" applyBorder="1" applyAlignment="1" applyProtection="1">
      <alignment horizontal="center" vertical="center"/>
      <protection locked="0"/>
    </xf>
    <xf numFmtId="1" fontId="50" fillId="42" borderId="26" xfId="0" applyNumberFormat="1" applyFont="1" applyFill="1" applyBorder="1" applyAlignment="1" applyProtection="1">
      <alignment horizontal="center" vertical="center"/>
      <protection locked="0"/>
    </xf>
    <xf numFmtId="0" fontId="10" fillId="33" borderId="27" xfId="0" applyFont="1" applyFill="1" applyBorder="1" applyAlignment="1">
      <alignment horizontal="center" vertical="center" wrapText="1"/>
    </xf>
    <xf numFmtId="0" fontId="8" fillId="37" borderId="28" xfId="0" applyNumberFormat="1" applyFont="1" applyFill="1" applyBorder="1" applyAlignment="1" applyProtection="1">
      <alignment horizontal="center" vertical="center" wrapText="1"/>
      <protection locked="0"/>
    </xf>
    <xf numFmtId="1" fontId="8" fillId="37" borderId="24" xfId="0" applyNumberFormat="1" applyFont="1" applyFill="1" applyBorder="1" applyAlignment="1" applyProtection="1">
      <alignment horizontal="center" vertical="center"/>
      <protection locked="0"/>
    </xf>
    <xf numFmtId="1" fontId="8" fillId="42" borderId="24" xfId="0" applyNumberFormat="1" applyFont="1" applyFill="1" applyBorder="1" applyAlignment="1" applyProtection="1">
      <alignment horizontal="center" vertical="center"/>
      <protection locked="0"/>
    </xf>
    <xf numFmtId="1" fontId="166" fillId="38" borderId="10" xfId="0" applyNumberFormat="1" applyFont="1" applyFill="1" applyBorder="1" applyAlignment="1">
      <alignment horizontal="center" vertical="center"/>
    </xf>
    <xf numFmtId="1" fontId="167" fillId="38" borderId="10" xfId="0" applyNumberFormat="1" applyFont="1" applyFill="1" applyBorder="1" applyAlignment="1">
      <alignment horizontal="center" vertical="center"/>
    </xf>
    <xf numFmtId="0" fontId="168" fillId="38" borderId="14" xfId="0" applyFont="1" applyFill="1" applyBorder="1" applyAlignment="1">
      <alignment vertical="center"/>
    </xf>
    <xf numFmtId="0" fontId="168" fillId="39" borderId="14" xfId="0" applyFont="1" applyFill="1" applyBorder="1" applyAlignment="1">
      <alignment vertical="center"/>
    </xf>
    <xf numFmtId="0" fontId="168" fillId="38" borderId="29" xfId="0" applyFont="1" applyFill="1" applyBorder="1" applyAlignment="1">
      <alignment vertical="center"/>
    </xf>
    <xf numFmtId="0" fontId="22" fillId="43" borderId="30" xfId="0" applyFont="1" applyFill="1" applyBorder="1" applyAlignment="1" applyProtection="1">
      <alignment/>
      <protection/>
    </xf>
    <xf numFmtId="1" fontId="11" fillId="43" borderId="31" xfId="0" applyNumberFormat="1" applyFont="1" applyFill="1" applyBorder="1" applyAlignment="1">
      <alignment horizontal="left" vertical="center"/>
    </xf>
    <xf numFmtId="0" fontId="24" fillId="39" borderId="0" xfId="0" applyFont="1" applyFill="1" applyAlignment="1">
      <alignment/>
    </xf>
    <xf numFmtId="0" fontId="0" fillId="39" borderId="0" xfId="0" applyFill="1" applyAlignment="1">
      <alignment vertical="top"/>
    </xf>
    <xf numFmtId="0" fontId="91" fillId="39" borderId="0" xfId="0" applyFont="1" applyFill="1" applyAlignment="1">
      <alignment vertical="top"/>
    </xf>
    <xf numFmtId="1" fontId="169" fillId="40" borderId="10" xfId="0" applyNumberFormat="1" applyFont="1" applyFill="1" applyBorder="1" applyAlignment="1">
      <alignment horizontal="center" vertical="center"/>
    </xf>
    <xf numFmtId="1" fontId="50" fillId="44" borderId="26" xfId="0" applyNumberFormat="1" applyFont="1" applyFill="1" applyBorder="1" applyAlignment="1" applyProtection="1">
      <alignment horizontal="center" vertical="center"/>
      <protection locked="0"/>
    </xf>
    <xf numFmtId="0" fontId="170" fillId="39" borderId="0" xfId="0" applyFont="1" applyFill="1" applyAlignment="1">
      <alignment horizontal="left"/>
    </xf>
    <xf numFmtId="0" fontId="169" fillId="39" borderId="0" xfId="0" applyFont="1" applyFill="1" applyAlignment="1">
      <alignment/>
    </xf>
    <xf numFmtId="0" fontId="0" fillId="43" borderId="29" xfId="0" applyFont="1" applyFill="1" applyBorder="1" applyAlignment="1">
      <alignment horizontal="right" vertical="center"/>
    </xf>
    <xf numFmtId="0" fontId="10" fillId="33" borderId="14" xfId="0" applyFont="1" applyFill="1" applyBorder="1" applyAlignment="1">
      <alignment horizontal="center" vertical="center" wrapText="1"/>
    </xf>
    <xf numFmtId="1" fontId="8" fillId="42" borderId="29" xfId="0" applyNumberFormat="1" applyFont="1" applyFill="1" applyBorder="1" applyAlignment="1" applyProtection="1">
      <alignment horizontal="center" vertical="center"/>
      <protection locked="0"/>
    </xf>
    <xf numFmtId="1" fontId="11" fillId="43" borderId="30" xfId="0" applyNumberFormat="1" applyFont="1" applyFill="1" applyBorder="1" applyAlignment="1">
      <alignment horizontal="left" vertical="center"/>
    </xf>
    <xf numFmtId="1" fontId="8" fillId="41" borderId="24" xfId="0" applyNumberFormat="1" applyFont="1" applyFill="1" applyBorder="1" applyAlignment="1" applyProtection="1">
      <alignment horizontal="center" vertical="center"/>
      <protection locked="0"/>
    </xf>
    <xf numFmtId="1" fontId="8" fillId="41" borderId="32" xfId="0" applyNumberFormat="1" applyFont="1" applyFill="1" applyBorder="1" applyAlignment="1" applyProtection="1">
      <alignment horizontal="center" vertical="center"/>
      <protection locked="0"/>
    </xf>
    <xf numFmtId="1" fontId="164" fillId="39" borderId="0" xfId="0" applyNumberFormat="1" applyFont="1" applyFill="1" applyAlignment="1">
      <alignment horizontal="center"/>
    </xf>
    <xf numFmtId="1" fontId="169" fillId="39" borderId="0" xfId="0" applyNumberFormat="1" applyFont="1" applyFill="1" applyAlignment="1">
      <alignment horizontal="right" vertical="center"/>
    </xf>
    <xf numFmtId="1" fontId="169" fillId="39" borderId="0" xfId="0" applyNumberFormat="1" applyFont="1" applyFill="1" applyAlignment="1">
      <alignment/>
    </xf>
    <xf numFmtId="189" fontId="63" fillId="0" borderId="33" xfId="0" applyNumberFormat="1" applyFont="1" applyFill="1" applyBorder="1" applyAlignment="1" applyProtection="1">
      <alignment horizontal="left" vertical="center"/>
      <protection/>
    </xf>
    <xf numFmtId="0" fontId="69" fillId="0" borderId="0" xfId="0" applyFont="1" applyFill="1" applyBorder="1" applyAlignment="1" applyProtection="1">
      <alignment horizontal="center" vertical="center"/>
      <protection/>
    </xf>
    <xf numFmtId="0" fontId="35" fillId="34" borderId="0" xfId="0" applyFont="1" applyFill="1" applyBorder="1" applyAlignment="1" applyProtection="1">
      <alignment vertical="center"/>
      <protection/>
    </xf>
    <xf numFmtId="0" fontId="39" fillId="0" borderId="20" xfId="0" applyFont="1" applyBorder="1" applyAlignment="1" applyProtection="1">
      <alignment horizontal="center" vertical="center"/>
      <protection/>
    </xf>
    <xf numFmtId="0" fontId="39" fillId="0" borderId="34"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49" fontId="39" fillId="37" borderId="35" xfId="0" applyNumberFormat="1" applyFont="1" applyFill="1" applyBorder="1" applyAlignment="1" applyProtection="1">
      <alignment horizontal="center" vertical="center"/>
      <protection locked="0"/>
    </xf>
    <xf numFmtId="2" fontId="1" fillId="37" borderId="24" xfId="0" applyNumberFormat="1" applyFont="1" applyFill="1" applyBorder="1" applyAlignment="1" applyProtection="1">
      <alignment horizontal="center" vertical="center"/>
      <protection locked="0"/>
    </xf>
    <xf numFmtId="49" fontId="13" fillId="37" borderId="29" xfId="0" applyNumberFormat="1" applyFont="1" applyFill="1" applyBorder="1" applyAlignment="1" applyProtection="1">
      <alignment horizontal="right" vertical="center"/>
      <protection locked="0"/>
    </xf>
    <xf numFmtId="49" fontId="29" fillId="37" borderId="30" xfId="0" applyNumberFormat="1" applyFont="1" applyFill="1" applyBorder="1" applyAlignment="1" applyProtection="1">
      <alignment horizontal="left" vertical="center"/>
      <protection locked="0"/>
    </xf>
    <xf numFmtId="1" fontId="40" fillId="37" borderId="17" xfId="0" applyNumberFormat="1" applyFont="1" applyFill="1" applyBorder="1" applyAlignment="1" applyProtection="1">
      <alignment horizontal="center" vertical="center" wrapText="1"/>
      <protection locked="0"/>
    </xf>
    <xf numFmtId="1" fontId="40" fillId="37" borderId="18"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xf>
    <xf numFmtId="0" fontId="41" fillId="34" borderId="0" xfId="0" applyFont="1" applyFill="1" applyAlignment="1" applyProtection="1">
      <alignment horizontal="center" vertical="center"/>
      <protection/>
    </xf>
    <xf numFmtId="0" fontId="21" fillId="34" borderId="17" xfId="0" applyFont="1" applyFill="1" applyBorder="1" applyAlignment="1" applyProtection="1">
      <alignment horizontal="center" vertical="center" wrapText="1"/>
      <protection/>
    </xf>
    <xf numFmtId="0" fontId="21" fillId="34" borderId="36" xfId="0" applyFont="1" applyFill="1" applyBorder="1" applyAlignment="1" applyProtection="1">
      <alignment horizontal="center" vertical="center" wrapText="1"/>
      <protection/>
    </xf>
    <xf numFmtId="188" fontId="17" fillId="35" borderId="0" xfId="44" applyNumberFormat="1" applyFont="1" applyFill="1" applyBorder="1" applyAlignment="1" applyProtection="1">
      <alignment vertical="center"/>
      <protection/>
    </xf>
    <xf numFmtId="188" fontId="56" fillId="35" borderId="0" xfId="44" applyNumberFormat="1" applyFont="1" applyFill="1" applyAlignment="1" applyProtection="1">
      <alignment horizontal="center" vertical="center"/>
      <protection/>
    </xf>
    <xf numFmtId="0" fontId="37" fillId="37" borderId="0" xfId="0" applyFont="1" applyFill="1" applyAlignment="1" applyProtection="1">
      <alignment horizontal="center" vertical="center"/>
      <protection/>
    </xf>
    <xf numFmtId="0" fontId="59" fillId="32" borderId="19" xfId="0" applyFont="1" applyFill="1" applyBorder="1" applyAlignment="1" applyProtection="1">
      <alignment horizontal="left" vertical="top" wrapText="1"/>
      <protection/>
    </xf>
    <xf numFmtId="0" fontId="59" fillId="32" borderId="37" xfId="0" applyFont="1" applyFill="1" applyBorder="1" applyAlignment="1" applyProtection="1">
      <alignment horizontal="left" vertical="top" wrapText="1"/>
      <protection/>
    </xf>
    <xf numFmtId="0" fontId="17" fillId="37" borderId="0" xfId="0" applyFont="1" applyFill="1" applyAlignment="1" applyProtection="1">
      <alignment horizontal="center" vertical="center"/>
      <protection/>
    </xf>
    <xf numFmtId="0" fontId="97" fillId="37" borderId="0" xfId="0" applyFont="1" applyFill="1" applyAlignment="1" applyProtection="1">
      <alignment horizontal="center" vertical="center"/>
      <protection/>
    </xf>
    <xf numFmtId="0" fontId="63" fillId="37" borderId="0" xfId="0" applyFont="1" applyFill="1" applyAlignment="1" applyProtection="1">
      <alignment horizontal="center" vertical="center"/>
      <protection/>
    </xf>
    <xf numFmtId="0" fontId="54" fillId="0" borderId="0" xfId="0" applyFont="1" applyFill="1" applyAlignment="1" applyProtection="1">
      <alignment horizontal="center" vertical="top"/>
      <protection/>
    </xf>
    <xf numFmtId="0" fontId="30" fillId="37" borderId="0" xfId="0" applyFont="1" applyFill="1" applyAlignment="1" applyProtection="1">
      <alignment horizontal="center" vertical="center"/>
      <protection/>
    </xf>
    <xf numFmtId="3" fontId="57" fillId="37" borderId="0" xfId="0" applyNumberFormat="1" applyFont="1" applyFill="1" applyAlignment="1" applyProtection="1">
      <alignment horizontal="center" vertical="center"/>
      <protection/>
    </xf>
    <xf numFmtId="0" fontId="57" fillId="37" borderId="0" xfId="0" applyFont="1" applyFill="1" applyAlignment="1" applyProtection="1">
      <alignment horizontal="center" vertical="center"/>
      <protection/>
    </xf>
    <xf numFmtId="0" fontId="70" fillId="0" borderId="0" xfId="0" applyFont="1" applyFill="1" applyBorder="1" applyAlignment="1" applyProtection="1">
      <alignment horizontal="left" vertical="center"/>
      <protection/>
    </xf>
    <xf numFmtId="189" fontId="63" fillId="0" borderId="0" xfId="0" applyNumberFormat="1" applyFont="1" applyFill="1" applyBorder="1" applyAlignment="1" applyProtection="1">
      <alignment horizontal="left" vertical="center"/>
      <protection/>
    </xf>
    <xf numFmtId="0" fontId="54" fillId="37" borderId="0" xfId="0" applyFont="1" applyFill="1" applyAlignment="1" applyProtection="1">
      <alignment horizontal="center" vertical="center"/>
      <protection/>
    </xf>
    <xf numFmtId="0" fontId="77" fillId="37" borderId="0" xfId="0" applyNumberFormat="1" applyFont="1" applyFill="1" applyAlignment="1" applyProtection="1">
      <alignment horizontal="center" vertical="center"/>
      <protection/>
    </xf>
    <xf numFmtId="0" fontId="71" fillId="37" borderId="0" xfId="0" applyFont="1" applyFill="1" applyAlignment="1" applyProtection="1">
      <alignment horizontal="left" vertical="center"/>
      <protection/>
    </xf>
    <xf numFmtId="0" fontId="28" fillId="34" borderId="0" xfId="44" applyNumberFormat="1" applyFont="1" applyFill="1" applyBorder="1" applyAlignment="1" applyProtection="1">
      <alignment horizontal="center" vertical="center" wrapText="1"/>
      <protection/>
    </xf>
    <xf numFmtId="0" fontId="17" fillId="34" borderId="0" xfId="44" applyNumberFormat="1" applyFont="1" applyFill="1" applyBorder="1" applyAlignment="1" applyProtection="1">
      <alignment horizontal="center" vertical="center" wrapText="1"/>
      <protection/>
    </xf>
    <xf numFmtId="0" fontId="73" fillId="37" borderId="0" xfId="0" applyFont="1" applyFill="1" applyAlignment="1" applyProtection="1">
      <alignment horizontal="center" vertical="center"/>
      <protection/>
    </xf>
    <xf numFmtId="0" fontId="77" fillId="35" borderId="0" xfId="0" applyNumberFormat="1" applyFont="1" applyFill="1" applyAlignment="1" applyProtection="1">
      <alignment horizontal="center" vertical="center"/>
      <protection/>
    </xf>
    <xf numFmtId="0" fontId="71" fillId="35" borderId="0" xfId="0" applyFont="1" applyFill="1" applyAlignment="1" applyProtection="1">
      <alignment horizontal="left" vertical="center"/>
      <protection/>
    </xf>
    <xf numFmtId="188" fontId="75" fillId="34" borderId="0" xfId="44" applyNumberFormat="1" applyFont="1" applyFill="1" applyBorder="1" applyAlignment="1" applyProtection="1">
      <alignment horizontal="center" vertical="center"/>
      <protection/>
    </xf>
    <xf numFmtId="188" fontId="76" fillId="34" borderId="0" xfId="44" applyNumberFormat="1" applyFont="1" applyFill="1" applyBorder="1" applyAlignment="1" applyProtection="1">
      <alignment vertical="center"/>
      <protection/>
    </xf>
    <xf numFmtId="188" fontId="57" fillId="34" borderId="0" xfId="44" applyNumberFormat="1" applyFont="1" applyFill="1" applyBorder="1" applyAlignment="1" applyProtection="1">
      <alignment horizontal="center" vertical="center"/>
      <protection/>
    </xf>
    <xf numFmtId="188" fontId="30" fillId="34" borderId="0" xfId="44" applyNumberFormat="1" applyFont="1" applyFill="1" applyAlignment="1" applyProtection="1">
      <alignment horizontal="center" vertical="center"/>
      <protection/>
    </xf>
    <xf numFmtId="0" fontId="77" fillId="37" borderId="0" xfId="0" applyFont="1" applyFill="1" applyAlignment="1" applyProtection="1">
      <alignment horizontal="center" vertical="center"/>
      <protection/>
    </xf>
    <xf numFmtId="0" fontId="81" fillId="0" borderId="0" xfId="0" applyFont="1" applyFill="1" applyBorder="1" applyAlignment="1" applyProtection="1">
      <alignment horizontal="center" vertical="center"/>
      <protection/>
    </xf>
    <xf numFmtId="0" fontId="41" fillId="0" borderId="38" xfId="0" applyFont="1" applyFill="1" applyBorder="1" applyAlignment="1" applyProtection="1">
      <alignment horizontal="center" vertical="center" wrapText="1"/>
      <protection/>
    </xf>
    <xf numFmtId="10" fontId="75" fillId="34" borderId="0" xfId="44" applyNumberFormat="1" applyFont="1" applyFill="1" applyBorder="1" applyAlignment="1" applyProtection="1">
      <alignment horizontal="center" vertical="center"/>
      <protection/>
    </xf>
    <xf numFmtId="188" fontId="30" fillId="35" borderId="0" xfId="44" applyNumberFormat="1" applyFont="1" applyFill="1" applyAlignment="1" applyProtection="1">
      <alignment horizontal="center" vertical="center"/>
      <protection/>
    </xf>
    <xf numFmtId="0" fontId="48" fillId="4" borderId="39" xfId="0" applyFont="1" applyFill="1" applyBorder="1" applyAlignment="1" applyProtection="1">
      <alignment horizontal="center" vertical="center" wrapText="1"/>
      <protection/>
    </xf>
    <xf numFmtId="181" fontId="102" fillId="4" borderId="34" xfId="0" applyNumberFormat="1" applyFont="1" applyFill="1" applyBorder="1" applyAlignment="1" applyProtection="1">
      <alignment horizontal="center" vertical="center" wrapText="1"/>
      <protection/>
    </xf>
    <xf numFmtId="10" fontId="75" fillId="35" borderId="40" xfId="0" applyNumberFormat="1" applyFont="1" applyFill="1" applyBorder="1" applyAlignment="1" applyProtection="1">
      <alignment horizontal="center" vertical="center"/>
      <protection/>
    </xf>
    <xf numFmtId="0" fontId="79" fillId="34" borderId="0" xfId="44" applyNumberFormat="1" applyFont="1" applyFill="1" applyBorder="1" applyAlignment="1" applyProtection="1">
      <alignment horizontal="right" vertical="center"/>
      <protection/>
    </xf>
    <xf numFmtId="0" fontId="47" fillId="45" borderId="20" xfId="0" applyFont="1" applyFill="1" applyBorder="1" applyAlignment="1" applyProtection="1">
      <alignment vertical="center"/>
      <protection/>
    </xf>
    <xf numFmtId="0" fontId="47" fillId="45" borderId="21" xfId="0" applyFont="1" applyFill="1" applyBorder="1" applyAlignment="1" applyProtection="1">
      <alignment vertical="center"/>
      <protection/>
    </xf>
    <xf numFmtId="188" fontId="30" fillId="45" borderId="41" xfId="44" applyNumberFormat="1" applyFont="1" applyFill="1" applyBorder="1" applyAlignment="1" applyProtection="1">
      <alignment horizontal="center" vertical="center"/>
      <protection/>
    </xf>
    <xf numFmtId="0" fontId="27" fillId="35" borderId="0" xfId="0" applyFont="1" applyFill="1" applyAlignment="1" applyProtection="1">
      <alignment horizontal="center" vertical="center"/>
      <protection/>
    </xf>
    <xf numFmtId="0" fontId="48" fillId="4" borderId="42" xfId="0" applyFont="1" applyFill="1" applyBorder="1" applyAlignment="1" applyProtection="1">
      <alignment horizontal="center" vertical="center" wrapText="1"/>
      <protection/>
    </xf>
    <xf numFmtId="181" fontId="102" fillId="4" borderId="14" xfId="0" applyNumberFormat="1" applyFont="1" applyFill="1" applyBorder="1" applyAlignment="1" applyProtection="1">
      <alignment horizontal="center" vertical="center" wrapText="1"/>
      <protection/>
    </xf>
    <xf numFmtId="10" fontId="75" fillId="35" borderId="15" xfId="0" applyNumberFormat="1" applyFont="1" applyFill="1" applyBorder="1" applyAlignment="1" applyProtection="1">
      <alignment horizontal="center" vertical="center" wrapText="1"/>
      <protection/>
    </xf>
    <xf numFmtId="3" fontId="40" fillId="45" borderId="43" xfId="44" applyNumberFormat="1" applyFont="1" applyFill="1" applyBorder="1" applyAlignment="1" applyProtection="1">
      <alignment horizontal="center" vertical="center"/>
      <protection/>
    </xf>
    <xf numFmtId="3" fontId="40" fillId="45" borderId="11" xfId="44" applyNumberFormat="1" applyFont="1" applyFill="1" applyBorder="1" applyAlignment="1" applyProtection="1">
      <alignment horizontal="center" vertical="center"/>
      <protection/>
    </xf>
    <xf numFmtId="188" fontId="30" fillId="45" borderId="44" xfId="44" applyNumberFormat="1" applyFont="1" applyFill="1" applyBorder="1" applyAlignment="1" applyProtection="1">
      <alignment horizontal="center" vertical="center"/>
      <protection/>
    </xf>
    <xf numFmtId="188" fontId="48" fillId="4" borderId="45" xfId="44" applyNumberFormat="1" applyFont="1" applyFill="1" applyBorder="1" applyAlignment="1" applyProtection="1">
      <alignment horizontal="center" vertical="center" wrapText="1"/>
      <protection/>
    </xf>
    <xf numFmtId="190" fontId="102" fillId="4" borderId="18" xfId="44" applyNumberFormat="1" applyFont="1" applyFill="1" applyBorder="1" applyAlignment="1" applyProtection="1">
      <alignment horizontal="center" vertical="center"/>
      <protection/>
    </xf>
    <xf numFmtId="10" fontId="75" fillId="35" borderId="36" xfId="0" applyNumberFormat="1" applyFont="1" applyFill="1" applyBorder="1" applyAlignment="1" applyProtection="1">
      <alignment horizontal="center" vertical="center" wrapText="1"/>
      <protection/>
    </xf>
    <xf numFmtId="188" fontId="80" fillId="45" borderId="22" xfId="44" applyNumberFormat="1" applyFont="1" applyFill="1" applyBorder="1" applyAlignment="1" applyProtection="1">
      <alignment horizontal="center" wrapText="1"/>
      <protection/>
    </xf>
    <xf numFmtId="188" fontId="80" fillId="45" borderId="23" xfId="44" applyNumberFormat="1" applyFont="1" applyFill="1" applyBorder="1" applyAlignment="1" applyProtection="1">
      <alignment horizontal="center" wrapText="1"/>
      <protection/>
    </xf>
    <xf numFmtId="188" fontId="30" fillId="34" borderId="0" xfId="44" applyNumberFormat="1" applyFont="1" applyFill="1" applyBorder="1" applyAlignment="1" applyProtection="1">
      <alignment horizontal="center" vertical="center"/>
      <protection/>
    </xf>
    <xf numFmtId="10" fontId="75" fillId="0" borderId="0" xfId="0" applyNumberFormat="1" applyFont="1" applyFill="1" applyBorder="1" applyAlignment="1" applyProtection="1">
      <alignment horizontal="center" vertical="center" wrapText="1"/>
      <protection/>
    </xf>
    <xf numFmtId="188" fontId="82" fillId="45" borderId="46" xfId="44" applyNumberFormat="1" applyFont="1" applyFill="1" applyBorder="1" applyAlignment="1" applyProtection="1">
      <alignment horizontal="center" vertical="center" wrapText="1"/>
      <protection/>
    </xf>
    <xf numFmtId="188" fontId="82" fillId="45" borderId="47" xfId="44" applyNumberFormat="1" applyFont="1" applyFill="1" applyBorder="1" applyAlignment="1" applyProtection="1">
      <alignment horizontal="center" vertical="center"/>
      <protection/>
    </xf>
    <xf numFmtId="10" fontId="75" fillId="35" borderId="40" xfId="0" applyNumberFormat="1" applyFont="1" applyFill="1" applyBorder="1" applyAlignment="1" applyProtection="1">
      <alignment horizontal="center" vertical="center" wrapText="1"/>
      <protection/>
    </xf>
    <xf numFmtId="188" fontId="30" fillId="10" borderId="21" xfId="44" applyNumberFormat="1" applyFont="1" applyFill="1" applyBorder="1" applyAlignment="1" applyProtection="1">
      <alignment horizontal="center" vertical="center"/>
      <protection/>
    </xf>
    <xf numFmtId="188" fontId="30" fillId="34" borderId="48" xfId="44" applyNumberFormat="1" applyFont="1" applyFill="1" applyBorder="1" applyAlignment="1" applyProtection="1">
      <alignment horizontal="center" vertical="center"/>
      <protection/>
    </xf>
    <xf numFmtId="3" fontId="40" fillId="10" borderId="43" xfId="44" applyNumberFormat="1" applyFont="1" applyFill="1" applyBorder="1" applyAlignment="1" applyProtection="1">
      <alignment horizontal="center" vertical="center"/>
      <protection/>
    </xf>
    <xf numFmtId="3" fontId="40" fillId="10" borderId="11" xfId="44" applyNumberFormat="1" applyFont="1" applyFill="1" applyBorder="1" applyAlignment="1" applyProtection="1">
      <alignment horizontal="center" vertical="center"/>
      <protection/>
    </xf>
    <xf numFmtId="188" fontId="30" fillId="10" borderId="49" xfId="44" applyNumberFormat="1" applyFont="1" applyFill="1" applyBorder="1" applyAlignment="1" applyProtection="1">
      <alignment horizontal="center" vertical="center"/>
      <protection/>
    </xf>
    <xf numFmtId="3" fontId="30" fillId="35" borderId="0" xfId="44" applyNumberFormat="1" applyFont="1" applyFill="1" applyAlignment="1" applyProtection="1">
      <alignment horizontal="center" vertical="center"/>
      <protection/>
    </xf>
    <xf numFmtId="0" fontId="30" fillId="35" borderId="0" xfId="44" applyNumberFormat="1" applyFont="1" applyFill="1" applyAlignment="1" applyProtection="1">
      <alignment horizontal="center" vertical="center"/>
      <protection/>
    </xf>
    <xf numFmtId="188" fontId="80" fillId="10" borderId="22" xfId="44" applyNumberFormat="1" applyFont="1" applyFill="1" applyBorder="1" applyAlignment="1" applyProtection="1">
      <alignment horizontal="center" wrapText="1"/>
      <protection/>
    </xf>
    <xf numFmtId="188" fontId="80" fillId="10" borderId="23" xfId="44" applyNumberFormat="1" applyFont="1" applyFill="1" applyBorder="1" applyAlignment="1" applyProtection="1">
      <alignment horizontal="center" wrapText="1"/>
      <protection/>
    </xf>
    <xf numFmtId="0" fontId="77" fillId="0"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wrapText="1"/>
      <protection/>
    </xf>
    <xf numFmtId="188" fontId="82" fillId="10" borderId="22" xfId="44" applyNumberFormat="1" applyFont="1" applyFill="1" applyBorder="1" applyAlignment="1" applyProtection="1">
      <alignment horizontal="center" vertical="center" wrapText="1"/>
      <protection/>
    </xf>
    <xf numFmtId="188" fontId="82" fillId="10" borderId="23" xfId="44" applyNumberFormat="1" applyFont="1" applyFill="1" applyBorder="1" applyAlignment="1" applyProtection="1">
      <alignment horizontal="center" vertical="center"/>
      <protection/>
    </xf>
    <xf numFmtId="188" fontId="48" fillId="10" borderId="23" xfId="44" applyNumberFormat="1" applyFont="1" applyFill="1" applyBorder="1" applyAlignment="1" applyProtection="1">
      <alignment horizontal="center" wrapText="1"/>
      <protection/>
    </xf>
    <xf numFmtId="0" fontId="39" fillId="0" borderId="38" xfId="0" applyFont="1" applyFill="1" applyBorder="1" applyAlignment="1" applyProtection="1">
      <alignment horizontal="center" vertical="center" wrapText="1"/>
      <protection/>
    </xf>
    <xf numFmtId="0" fontId="83" fillId="4" borderId="10" xfId="0" applyFont="1" applyFill="1" applyBorder="1" applyAlignment="1" applyProtection="1">
      <alignment horizontal="center" vertical="center"/>
      <protection/>
    </xf>
    <xf numFmtId="188" fontId="82" fillId="10" borderId="46" xfId="44" applyNumberFormat="1" applyFont="1" applyFill="1" applyBorder="1" applyAlignment="1" applyProtection="1">
      <alignment horizontal="center" vertical="center"/>
      <protection/>
    </xf>
    <xf numFmtId="188" fontId="82" fillId="10" borderId="47" xfId="44" applyNumberFormat="1" applyFont="1" applyFill="1" applyBorder="1" applyAlignment="1" applyProtection="1">
      <alignment horizontal="center" vertical="center"/>
      <protection/>
    </xf>
    <xf numFmtId="0" fontId="83" fillId="4" borderId="10" xfId="0" applyFont="1" applyFill="1" applyBorder="1" applyAlignment="1" applyProtection="1">
      <alignment horizontal="center" vertical="center" wrapText="1"/>
      <protection/>
    </xf>
    <xf numFmtId="188" fontId="27" fillId="34" borderId="0" xfId="44" applyNumberFormat="1"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104" fillId="0" borderId="0" xfId="0" applyFont="1" applyFill="1" applyAlignment="1" applyProtection="1">
      <alignment horizontal="left" vertical="center"/>
      <protection/>
    </xf>
    <xf numFmtId="0" fontId="85" fillId="0" borderId="0" xfId="0" applyFont="1" applyFill="1" applyAlignment="1" applyProtection="1">
      <alignment vertical="center"/>
      <protection/>
    </xf>
    <xf numFmtId="0" fontId="86" fillId="0" borderId="0" xfId="0" applyFont="1" applyFill="1" applyAlignment="1" applyProtection="1">
      <alignment horizontal="center" vertical="center"/>
      <protection/>
    </xf>
    <xf numFmtId="0" fontId="63" fillId="0" borderId="0" xfId="0" applyFont="1" applyFill="1" applyAlignment="1" applyProtection="1">
      <alignment horizontal="right" vertical="center"/>
      <protection/>
    </xf>
    <xf numFmtId="189" fontId="63" fillId="0" borderId="33" xfId="0" applyNumberFormat="1" applyFont="1" applyFill="1" applyBorder="1" applyAlignment="1" applyProtection="1">
      <alignment horizontal="right" vertical="center"/>
      <protection/>
    </xf>
    <xf numFmtId="188" fontId="28" fillId="34" borderId="0" xfId="44" applyNumberFormat="1" applyFont="1" applyFill="1" applyBorder="1" applyAlignment="1" applyProtection="1">
      <alignment horizontal="center" vertical="center"/>
      <protection/>
    </xf>
    <xf numFmtId="188" fontId="17" fillId="34" borderId="0" xfId="44" applyNumberFormat="1" applyFont="1" applyFill="1" applyBorder="1" applyAlignment="1" applyProtection="1">
      <alignment horizontal="center" vertical="center"/>
      <protection/>
    </xf>
    <xf numFmtId="188" fontId="17" fillId="34" borderId="0" xfId="44" applyNumberFormat="1" applyFont="1" applyFill="1" applyAlignment="1" applyProtection="1">
      <alignment horizontal="center" vertical="center"/>
      <protection/>
    </xf>
    <xf numFmtId="0" fontId="38" fillId="0" borderId="0" xfId="0" applyFont="1" applyFill="1" applyAlignment="1" applyProtection="1">
      <alignment horizontal="center" vertical="center"/>
      <protection/>
    </xf>
    <xf numFmtId="1" fontId="40" fillId="46" borderId="36" xfId="0" applyNumberFormat="1" applyFont="1" applyFill="1" applyBorder="1" applyAlignment="1" applyProtection="1">
      <alignment horizontal="center" vertical="center" wrapText="1"/>
      <protection/>
    </xf>
    <xf numFmtId="1" fontId="40" fillId="46" borderId="17" xfId="0" applyNumberFormat="1" applyFont="1" applyFill="1" applyBorder="1" applyAlignment="1" applyProtection="1">
      <alignment horizontal="center" vertical="center" wrapText="1"/>
      <protection/>
    </xf>
    <xf numFmtId="1" fontId="1" fillId="46" borderId="17" xfId="0" applyNumberFormat="1" applyFont="1" applyFill="1" applyBorder="1" applyAlignment="1" applyProtection="1">
      <alignment horizontal="center" vertical="center" wrapText="1"/>
      <protection/>
    </xf>
    <xf numFmtId="0" fontId="40" fillId="46" borderId="17" xfId="0" applyNumberFormat="1" applyFont="1" applyFill="1" applyBorder="1" applyAlignment="1" applyProtection="1">
      <alignment horizontal="center" vertical="center" wrapText="1"/>
      <protection/>
    </xf>
    <xf numFmtId="0" fontId="40" fillId="46" borderId="45" xfId="0" applyNumberFormat="1" applyFont="1" applyFill="1" applyBorder="1" applyAlignment="1" applyProtection="1">
      <alignment horizontal="center" vertical="center" wrapText="1"/>
      <protection/>
    </xf>
    <xf numFmtId="0" fontId="171" fillId="39" borderId="0" xfId="0" applyNumberFormat="1" applyFont="1" applyFill="1" applyBorder="1" applyAlignment="1" applyProtection="1">
      <alignment horizontal="center" vertical="center" wrapText="1"/>
      <protection locked="0"/>
    </xf>
    <xf numFmtId="0" fontId="78" fillId="39" borderId="0" xfId="0" applyNumberFormat="1" applyFont="1" applyFill="1" applyBorder="1" applyAlignment="1" applyProtection="1">
      <alignment horizontal="justify" vertical="center" wrapText="1"/>
      <protection/>
    </xf>
    <xf numFmtId="0" fontId="78" fillId="39" borderId="0" xfId="0" applyNumberFormat="1" applyFont="1" applyFill="1" applyBorder="1" applyAlignment="1" applyProtection="1">
      <alignment horizontal="center" vertical="center" wrapText="1"/>
      <protection/>
    </xf>
    <xf numFmtId="0" fontId="0" fillId="39" borderId="38" xfId="0" applyFont="1" applyFill="1" applyBorder="1" applyAlignment="1" applyProtection="1">
      <alignment horizontal="center" vertical="center"/>
      <protection/>
    </xf>
    <xf numFmtId="0" fontId="41" fillId="39" borderId="38" xfId="0" applyFont="1" applyFill="1" applyBorder="1" applyAlignment="1" applyProtection="1">
      <alignment horizontal="center" vertical="center"/>
      <protection/>
    </xf>
    <xf numFmtId="0" fontId="73" fillId="39" borderId="0" xfId="0" applyFont="1" applyFill="1" applyAlignment="1" applyProtection="1">
      <alignment horizontal="center" vertical="center"/>
      <protection/>
    </xf>
    <xf numFmtId="0" fontId="81" fillId="39" borderId="0" xfId="0" applyFont="1" applyFill="1" applyBorder="1" applyAlignment="1" applyProtection="1">
      <alignment horizontal="center" vertical="center"/>
      <protection/>
    </xf>
    <xf numFmtId="0" fontId="41" fillId="39" borderId="38" xfId="0" applyFont="1" applyFill="1" applyBorder="1" applyAlignment="1" applyProtection="1">
      <alignment horizontal="center" vertical="center" wrapText="1"/>
      <protection/>
    </xf>
    <xf numFmtId="0" fontId="13" fillId="47" borderId="50" xfId="0" applyNumberFormat="1" applyFont="1" applyFill="1" applyBorder="1" applyAlignment="1" applyProtection="1">
      <alignment horizontal="center" vertical="center" wrapText="1"/>
      <protection/>
    </xf>
    <xf numFmtId="1" fontId="13" fillId="47" borderId="10" xfId="0" applyNumberFormat="1" applyFont="1" applyFill="1" applyBorder="1" applyAlignment="1" applyProtection="1">
      <alignment horizontal="center" vertical="center"/>
      <protection/>
    </xf>
    <xf numFmtId="1" fontId="172" fillId="47" borderId="10" xfId="0" applyNumberFormat="1" applyFont="1" applyFill="1" applyBorder="1" applyAlignment="1" applyProtection="1">
      <alignment horizontal="center" vertical="center"/>
      <protection/>
    </xf>
    <xf numFmtId="1" fontId="164" fillId="47" borderId="10" xfId="0" applyNumberFormat="1" applyFont="1" applyFill="1" applyBorder="1" applyAlignment="1" applyProtection="1">
      <alignment horizontal="center" vertical="center"/>
      <protection/>
    </xf>
    <xf numFmtId="1" fontId="13" fillId="40" borderId="10" xfId="0" applyNumberFormat="1" applyFont="1" applyFill="1" applyBorder="1" applyAlignment="1" applyProtection="1">
      <alignment horizontal="center" vertical="center"/>
      <protection/>
    </xf>
    <xf numFmtId="1" fontId="13" fillId="48" borderId="10" xfId="0" applyNumberFormat="1" applyFont="1" applyFill="1" applyBorder="1" applyAlignment="1" applyProtection="1">
      <alignment horizontal="center" vertical="center"/>
      <protection/>
    </xf>
    <xf numFmtId="1" fontId="13" fillId="48" borderId="27" xfId="0" applyNumberFormat="1" applyFont="1" applyFill="1" applyBorder="1" applyAlignment="1" applyProtection="1">
      <alignment horizontal="center" vertical="center"/>
      <protection/>
    </xf>
    <xf numFmtId="1" fontId="11" fillId="43" borderId="24" xfId="0" applyNumberFormat="1" applyFont="1" applyFill="1" applyBorder="1" applyAlignment="1" applyProtection="1">
      <alignment horizontal="left" vertical="center"/>
      <protection/>
    </xf>
    <xf numFmtId="0" fontId="0" fillId="6" borderId="0" xfId="0" applyFill="1" applyAlignment="1">
      <alignment/>
    </xf>
    <xf numFmtId="0" fontId="5" fillId="6" borderId="0" xfId="0" applyFont="1" applyFill="1" applyAlignment="1">
      <alignment/>
    </xf>
    <xf numFmtId="0" fontId="0" fillId="6" borderId="0" xfId="0" applyFill="1" applyAlignment="1">
      <alignment vertical="center"/>
    </xf>
    <xf numFmtId="0" fontId="14" fillId="7" borderId="0" xfId="0" applyFont="1" applyFill="1" applyBorder="1" applyAlignment="1">
      <alignment horizontal="center"/>
    </xf>
    <xf numFmtId="0" fontId="173" fillId="7" borderId="0" xfId="0" applyFont="1" applyFill="1" applyBorder="1" applyAlignment="1">
      <alignment horizontal="left" vertical="top"/>
    </xf>
    <xf numFmtId="0" fontId="174" fillId="7" borderId="0" xfId="0" applyFont="1" applyFill="1" applyBorder="1" applyAlignment="1">
      <alignment horizontal="center" vertical="center"/>
    </xf>
    <xf numFmtId="0" fontId="90" fillId="7" borderId="0" xfId="0" applyFont="1" applyFill="1" applyBorder="1" applyAlignment="1">
      <alignment horizontal="left" vertical="center"/>
    </xf>
    <xf numFmtId="0" fontId="174" fillId="7" borderId="0" xfId="0" applyFont="1" applyFill="1" applyBorder="1" applyAlignment="1">
      <alignment horizontal="center" vertical="center" wrapText="1"/>
    </xf>
    <xf numFmtId="0" fontId="0" fillId="7" borderId="0" xfId="0" applyFill="1" applyAlignment="1">
      <alignment/>
    </xf>
    <xf numFmtId="0" fontId="0" fillId="7" borderId="0" xfId="0" applyFill="1" applyAlignment="1">
      <alignment vertical="center"/>
    </xf>
    <xf numFmtId="0" fontId="25" fillId="7" borderId="0" xfId="0" applyFont="1" applyFill="1" applyAlignment="1">
      <alignment/>
    </xf>
    <xf numFmtId="0" fontId="0" fillId="7" borderId="0" xfId="0" applyFill="1" applyBorder="1" applyAlignment="1">
      <alignment horizontal="center" vertical="center"/>
    </xf>
    <xf numFmtId="0" fontId="0" fillId="7" borderId="0" xfId="0" applyFill="1" applyBorder="1" applyAlignment="1">
      <alignment vertical="center"/>
    </xf>
    <xf numFmtId="0" fontId="0" fillId="7" borderId="0" xfId="0" applyFont="1" applyFill="1" applyAlignment="1">
      <alignment horizontal="left"/>
    </xf>
    <xf numFmtId="0" fontId="32" fillId="7" borderId="0" xfId="0" applyFont="1" applyFill="1" applyAlignment="1">
      <alignment horizontal="left"/>
    </xf>
    <xf numFmtId="0" fontId="0" fillId="40" borderId="27" xfId="0" applyFill="1" applyBorder="1" applyAlignment="1">
      <alignment vertical="center"/>
    </xf>
    <xf numFmtId="1" fontId="0" fillId="40" borderId="24" xfId="0" applyNumberFormat="1" applyFill="1" applyBorder="1" applyAlignment="1">
      <alignment horizontal="center" vertical="center"/>
    </xf>
    <xf numFmtId="0" fontId="165" fillId="40" borderId="31" xfId="0" applyFont="1" applyFill="1" applyBorder="1" applyAlignment="1">
      <alignment horizontal="center" vertical="center" wrapText="1"/>
    </xf>
    <xf numFmtId="0" fontId="165" fillId="40" borderId="51" xfId="0" applyFont="1" applyFill="1" applyBorder="1" applyAlignment="1">
      <alignment horizontal="center" vertical="center" wrapText="1"/>
    </xf>
    <xf numFmtId="0" fontId="22" fillId="43" borderId="30" xfId="0" applyFont="1" applyFill="1" applyBorder="1" applyAlignment="1" applyProtection="1">
      <alignment vertical="center"/>
      <protection/>
    </xf>
    <xf numFmtId="0" fontId="22" fillId="43" borderId="29" xfId="0" applyFont="1" applyFill="1" applyBorder="1" applyAlignment="1" applyProtection="1">
      <alignment vertical="center"/>
      <protection/>
    </xf>
    <xf numFmtId="0" fontId="0" fillId="7" borderId="0" xfId="0" applyFont="1" applyFill="1" applyAlignment="1">
      <alignment horizontal="center" wrapText="1"/>
    </xf>
    <xf numFmtId="1" fontId="0" fillId="7" borderId="0" xfId="0" applyNumberFormat="1" applyFill="1" applyAlignment="1">
      <alignment horizontal="center" vertical="center"/>
    </xf>
    <xf numFmtId="0" fontId="175" fillId="7" borderId="52" xfId="0" applyFont="1" applyFill="1" applyBorder="1" applyAlignment="1">
      <alignment vertical="center" wrapText="1"/>
    </xf>
    <xf numFmtId="0" fontId="6" fillId="41" borderId="53" xfId="0" applyFont="1" applyFill="1" applyBorder="1" applyAlignment="1" applyProtection="1">
      <alignment horizontal="left" vertical="center"/>
      <protection locked="0"/>
    </xf>
    <xf numFmtId="0" fontId="6" fillId="41" borderId="54" xfId="0" applyFont="1" applyFill="1" applyBorder="1" applyAlignment="1" applyProtection="1">
      <alignment horizontal="left" vertical="center"/>
      <protection locked="0"/>
    </xf>
    <xf numFmtId="0" fontId="9" fillId="41" borderId="30" xfId="0" applyFont="1" applyFill="1" applyBorder="1" applyAlignment="1" applyProtection="1">
      <alignment horizontal="left" vertical="center"/>
      <protection locked="0"/>
    </xf>
    <xf numFmtId="0" fontId="9" fillId="41" borderId="55" xfId="0" applyFont="1" applyFill="1" applyBorder="1" applyAlignment="1" applyProtection="1">
      <alignment horizontal="left" vertical="center"/>
      <protection locked="0"/>
    </xf>
    <xf numFmtId="0" fontId="32" fillId="7" borderId="0" xfId="0" applyFont="1" applyFill="1" applyAlignment="1">
      <alignment horizontal="left"/>
    </xf>
    <xf numFmtId="0" fontId="0" fillId="7" borderId="0" xfId="0" applyFont="1" applyFill="1" applyAlignment="1">
      <alignment horizontal="left"/>
    </xf>
    <xf numFmtId="0" fontId="176" fillId="7" borderId="0" xfId="0" applyFont="1" applyFill="1" applyBorder="1" applyAlignment="1">
      <alignment horizontal="center"/>
    </xf>
    <xf numFmtId="0" fontId="23" fillId="43" borderId="56" xfId="0" applyFont="1" applyFill="1" applyBorder="1" applyAlignment="1" applyProtection="1">
      <alignment horizontal="right" vertical="center"/>
      <protection locked="0"/>
    </xf>
    <xf numFmtId="0" fontId="23" fillId="43" borderId="57" xfId="0" applyFont="1" applyFill="1" applyBorder="1" applyAlignment="1" applyProtection="1">
      <alignment horizontal="right" vertical="center"/>
      <protection locked="0"/>
    </xf>
    <xf numFmtId="0" fontId="0" fillId="43" borderId="29" xfId="0" applyFont="1" applyFill="1" applyBorder="1" applyAlignment="1">
      <alignment horizontal="right" vertical="center"/>
    </xf>
    <xf numFmtId="0" fontId="0" fillId="43" borderId="30" xfId="0" applyFont="1" applyFill="1" applyBorder="1" applyAlignment="1">
      <alignment horizontal="right" vertical="center"/>
    </xf>
    <xf numFmtId="0" fontId="0" fillId="33" borderId="58" xfId="0" applyFont="1" applyFill="1" applyBorder="1" applyAlignment="1">
      <alignment horizontal="left" vertical="center"/>
    </xf>
    <xf numFmtId="0" fontId="0" fillId="33" borderId="30" xfId="0" applyFont="1" applyFill="1" applyBorder="1" applyAlignment="1">
      <alignment horizontal="left" vertical="center"/>
    </xf>
    <xf numFmtId="0" fontId="7" fillId="12" borderId="50" xfId="0" applyFont="1" applyFill="1" applyBorder="1" applyAlignment="1">
      <alignment horizontal="center" vertical="center" wrapText="1"/>
    </xf>
    <xf numFmtId="0" fontId="4" fillId="43" borderId="59" xfId="0" applyFont="1" applyFill="1" applyBorder="1" applyAlignment="1">
      <alignment horizontal="center" vertical="center"/>
    </xf>
    <xf numFmtId="0" fontId="4" fillId="43" borderId="60" xfId="0" applyFont="1" applyFill="1" applyBorder="1" applyAlignment="1">
      <alignment horizontal="center" vertical="center"/>
    </xf>
    <xf numFmtId="0" fontId="4" fillId="43" borderId="61" xfId="0" applyFont="1" applyFill="1" applyBorder="1" applyAlignment="1">
      <alignment horizontal="center" vertical="center"/>
    </xf>
    <xf numFmtId="0" fontId="0" fillId="40" borderId="28" xfId="0" applyFont="1" applyFill="1" applyBorder="1" applyAlignment="1">
      <alignment horizontal="left" vertical="center"/>
    </xf>
    <xf numFmtId="0" fontId="0" fillId="40" borderId="24" xfId="0" applyFill="1" applyBorder="1" applyAlignment="1">
      <alignment horizontal="left" vertical="center"/>
    </xf>
    <xf numFmtId="0" fontId="174" fillId="7" borderId="62" xfId="0" applyFont="1" applyFill="1" applyBorder="1" applyAlignment="1">
      <alignment horizontal="center" vertical="center" wrapText="1"/>
    </xf>
    <xf numFmtId="1" fontId="0" fillId="40" borderId="63" xfId="0" applyNumberFormat="1" applyFill="1" applyBorder="1" applyAlignment="1">
      <alignment horizontal="center" vertical="center"/>
    </xf>
    <xf numFmtId="0" fontId="0" fillId="40" borderId="64" xfId="0" applyFill="1" applyBorder="1" applyAlignment="1">
      <alignment horizontal="center" vertical="center"/>
    </xf>
    <xf numFmtId="0" fontId="0" fillId="40" borderId="65" xfId="0" applyFill="1" applyBorder="1" applyAlignment="1">
      <alignment horizontal="center" vertical="center"/>
    </xf>
    <xf numFmtId="0" fontId="0" fillId="40" borderId="49" xfId="0" applyFill="1" applyBorder="1" applyAlignment="1">
      <alignment horizontal="center" vertical="center"/>
    </xf>
    <xf numFmtId="0" fontId="0" fillId="40" borderId="0" xfId="0" applyFill="1" applyBorder="1" applyAlignment="1">
      <alignment horizontal="center" vertical="center"/>
    </xf>
    <xf numFmtId="0" fontId="0" fillId="40" borderId="66" xfId="0" applyFill="1" applyBorder="1" applyAlignment="1">
      <alignment horizontal="center" vertical="center"/>
    </xf>
    <xf numFmtId="0" fontId="0" fillId="40" borderId="67" xfId="0" applyFill="1" applyBorder="1" applyAlignment="1">
      <alignment horizontal="center" vertical="center"/>
    </xf>
    <xf numFmtId="0" fontId="0" fillId="40" borderId="68" xfId="0" applyFill="1" applyBorder="1" applyAlignment="1">
      <alignment horizontal="center" vertical="center"/>
    </xf>
    <xf numFmtId="0" fontId="0" fillId="40" borderId="69" xfId="0" applyFill="1" applyBorder="1" applyAlignment="1">
      <alignment horizontal="center" vertical="center"/>
    </xf>
    <xf numFmtId="0" fontId="0" fillId="40" borderId="50" xfId="0" applyFont="1" applyFill="1" applyBorder="1" applyAlignment="1">
      <alignment horizontal="left" vertical="center" wrapText="1"/>
    </xf>
    <xf numFmtId="0" fontId="0" fillId="40" borderId="10" xfId="0" applyFont="1" applyFill="1" applyBorder="1" applyAlignment="1">
      <alignment horizontal="left" vertical="center"/>
    </xf>
    <xf numFmtId="0" fontId="0" fillId="40" borderId="70" xfId="0" applyFont="1" applyFill="1" applyBorder="1" applyAlignment="1">
      <alignment horizontal="left" vertical="center" wrapText="1"/>
    </xf>
    <xf numFmtId="0" fontId="0" fillId="40" borderId="71" xfId="0" applyFont="1" applyFill="1" applyBorder="1" applyAlignment="1">
      <alignment horizontal="left" vertical="center"/>
    </xf>
    <xf numFmtId="0" fontId="0" fillId="40" borderId="13" xfId="0" applyFont="1" applyFill="1" applyBorder="1" applyAlignment="1">
      <alignment horizontal="left" vertical="center"/>
    </xf>
    <xf numFmtId="0" fontId="0" fillId="40" borderId="50" xfId="0" applyFont="1" applyFill="1" applyBorder="1" applyAlignment="1">
      <alignment horizontal="left" vertical="center"/>
    </xf>
    <xf numFmtId="0" fontId="11" fillId="33" borderId="14"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0" fillId="40" borderId="50" xfId="0" applyFont="1" applyFill="1" applyBorder="1" applyAlignment="1">
      <alignment horizontal="left" vertical="center"/>
    </xf>
    <xf numFmtId="0" fontId="0" fillId="40" borderId="10" xfId="0" applyFill="1" applyBorder="1" applyAlignment="1">
      <alignment horizontal="left" vertical="center"/>
    </xf>
    <xf numFmtId="0" fontId="174" fillId="7" borderId="0" xfId="0" applyFont="1" applyFill="1" applyBorder="1" applyAlignment="1">
      <alignment horizontal="center" vertical="center"/>
    </xf>
    <xf numFmtId="0" fontId="22" fillId="38" borderId="50" xfId="0" applyFont="1" applyFill="1" applyBorder="1" applyAlignment="1" quotePrefix="1">
      <alignment horizontal="left" vertical="center"/>
    </xf>
    <xf numFmtId="0" fontId="22" fillId="38" borderId="10" xfId="0" applyFont="1" applyFill="1" applyBorder="1" applyAlignment="1" quotePrefix="1">
      <alignment horizontal="left" vertical="center"/>
    </xf>
    <xf numFmtId="0" fontId="16" fillId="33" borderId="1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90" fillId="49" borderId="56" xfId="0" applyFont="1" applyFill="1" applyBorder="1" applyAlignment="1">
      <alignment horizontal="left" vertical="center"/>
    </xf>
    <xf numFmtId="0" fontId="90" fillId="49" borderId="57" xfId="0" applyFont="1" applyFill="1" applyBorder="1" applyAlignment="1">
      <alignment horizontal="left" vertical="center"/>
    </xf>
    <xf numFmtId="0" fontId="90" fillId="49" borderId="72" xfId="0" applyFont="1" applyFill="1" applyBorder="1" applyAlignment="1">
      <alignment horizontal="left" vertical="center"/>
    </xf>
    <xf numFmtId="0" fontId="168" fillId="6" borderId="10" xfId="0" applyFont="1" applyFill="1" applyBorder="1" applyAlignment="1">
      <alignment horizontal="center"/>
    </xf>
    <xf numFmtId="0" fontId="0" fillId="6" borderId="10" xfId="0" applyFill="1" applyBorder="1" applyAlignment="1">
      <alignment horizontal="center"/>
    </xf>
    <xf numFmtId="0" fontId="0" fillId="6" borderId="10" xfId="0" applyFill="1" applyBorder="1" applyAlignment="1">
      <alignment horizontal="center" vertical="center"/>
    </xf>
    <xf numFmtId="0" fontId="90" fillId="43" borderId="56" xfId="0" applyFont="1" applyFill="1" applyBorder="1" applyAlignment="1">
      <alignment horizontal="left" vertical="center"/>
    </xf>
    <xf numFmtId="0" fontId="90" fillId="43" borderId="57" xfId="0" applyFont="1" applyFill="1" applyBorder="1" applyAlignment="1">
      <alignment horizontal="left" vertical="center"/>
    </xf>
    <xf numFmtId="0" fontId="90" fillId="43" borderId="72" xfId="0" applyFont="1" applyFill="1" applyBorder="1" applyAlignment="1">
      <alignment horizontal="left" vertical="center"/>
    </xf>
    <xf numFmtId="0" fontId="16" fillId="33" borderId="73" xfId="0" applyFont="1" applyFill="1" applyBorder="1" applyAlignment="1">
      <alignment horizontal="center" vertical="center" wrapText="1"/>
    </xf>
    <xf numFmtId="0" fontId="22" fillId="43" borderId="58" xfId="0" applyFont="1" applyFill="1" applyBorder="1" applyAlignment="1" applyProtection="1">
      <alignment horizontal="right"/>
      <protection/>
    </xf>
    <xf numFmtId="0" fontId="22" fillId="43" borderId="30" xfId="0" applyFont="1" applyFill="1" applyBorder="1" applyAlignment="1" applyProtection="1">
      <alignment horizontal="right"/>
      <protection/>
    </xf>
    <xf numFmtId="0" fontId="22" fillId="41" borderId="30" xfId="0" applyFont="1" applyFill="1" applyBorder="1" applyAlignment="1" applyProtection="1">
      <alignment horizontal="left" vertical="center"/>
      <protection locked="0"/>
    </xf>
    <xf numFmtId="0" fontId="22" fillId="41" borderId="31" xfId="0" applyFont="1" applyFill="1" applyBorder="1" applyAlignment="1" applyProtection="1">
      <alignment horizontal="left" vertical="center"/>
      <protection locked="0"/>
    </xf>
    <xf numFmtId="0" fontId="174" fillId="7" borderId="0" xfId="0" applyFont="1" applyFill="1" applyBorder="1" applyAlignment="1">
      <alignment horizontal="center" vertical="center" wrapText="1"/>
    </xf>
    <xf numFmtId="1" fontId="11" fillId="0" borderId="24" xfId="0" applyNumberFormat="1" applyFont="1" applyFill="1" applyBorder="1" applyAlignment="1">
      <alignment horizontal="center" vertical="center"/>
    </xf>
    <xf numFmtId="1" fontId="11" fillId="0" borderId="32" xfId="0" applyNumberFormat="1" applyFont="1" applyFill="1" applyBorder="1" applyAlignment="1">
      <alignment horizontal="center" vertical="center"/>
    </xf>
    <xf numFmtId="0" fontId="0" fillId="6" borderId="10" xfId="0" applyFont="1" applyFill="1" applyBorder="1" applyAlignment="1" quotePrefix="1">
      <alignment horizontal="left" vertical="center" wrapText="1"/>
    </xf>
    <xf numFmtId="0" fontId="0" fillId="6" borderId="10" xfId="0" applyFill="1" applyBorder="1" applyAlignment="1">
      <alignment horizontal="left" vertical="center"/>
    </xf>
    <xf numFmtId="0" fontId="0" fillId="33" borderId="74" xfId="0" applyFont="1" applyFill="1" applyBorder="1" applyAlignment="1">
      <alignment horizontal="left" vertical="center"/>
    </xf>
    <xf numFmtId="0" fontId="0" fillId="33" borderId="75" xfId="0" applyFont="1" applyFill="1" applyBorder="1" applyAlignment="1">
      <alignment horizontal="left" vertical="center"/>
    </xf>
    <xf numFmtId="0" fontId="0" fillId="33" borderId="76" xfId="0" applyFont="1" applyFill="1" applyBorder="1" applyAlignment="1">
      <alignment horizontal="left" vertical="center"/>
    </xf>
    <xf numFmtId="0" fontId="0" fillId="33" borderId="50"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4" xfId="0" applyFont="1" applyFill="1" applyBorder="1" applyAlignment="1">
      <alignment horizontal="left" vertical="center"/>
    </xf>
    <xf numFmtId="0" fontId="177" fillId="43" borderId="29" xfId="0" applyFont="1" applyFill="1" applyBorder="1" applyAlignment="1">
      <alignment horizontal="center" vertical="center"/>
    </xf>
    <xf numFmtId="0" fontId="177" fillId="43" borderId="30" xfId="0" applyFont="1" applyFill="1" applyBorder="1" applyAlignment="1">
      <alignment horizontal="center" vertical="center"/>
    </xf>
    <xf numFmtId="0" fontId="177" fillId="43" borderId="31" xfId="0" applyFont="1" applyFill="1" applyBorder="1" applyAlignment="1">
      <alignment horizontal="center" vertical="center"/>
    </xf>
    <xf numFmtId="0" fontId="0" fillId="43" borderId="58" xfId="0" applyFont="1" applyFill="1" applyBorder="1" applyAlignment="1">
      <alignment horizontal="right" vertical="center"/>
    </xf>
    <xf numFmtId="0" fontId="0" fillId="43" borderId="31" xfId="0" applyFont="1" applyFill="1" applyBorder="1" applyAlignment="1">
      <alignment horizontal="right" vertical="center"/>
    </xf>
    <xf numFmtId="0" fontId="10" fillId="38" borderId="50" xfId="0" applyFont="1" applyFill="1" applyBorder="1" applyAlignment="1" quotePrefix="1">
      <alignment horizontal="right" vertical="center"/>
    </xf>
    <xf numFmtId="0" fontId="10" fillId="38" borderId="10" xfId="0" applyFont="1" applyFill="1" applyBorder="1" applyAlignment="1" quotePrefix="1">
      <alignment horizontal="right" vertical="center"/>
    </xf>
    <xf numFmtId="0" fontId="178" fillId="39" borderId="50" xfId="0" applyFont="1" applyFill="1" applyBorder="1" applyAlignment="1" quotePrefix="1">
      <alignment horizontal="left" vertical="center"/>
    </xf>
    <xf numFmtId="0" fontId="178" fillId="39" borderId="10" xfId="0" applyFont="1" applyFill="1" applyBorder="1" applyAlignment="1" quotePrefix="1">
      <alignment horizontal="left" vertical="center"/>
    </xf>
    <xf numFmtId="0" fontId="179" fillId="38" borderId="50" xfId="0" applyFont="1" applyFill="1" applyBorder="1" applyAlignment="1" quotePrefix="1">
      <alignment horizontal="left" vertical="center"/>
    </xf>
    <xf numFmtId="0" fontId="179" fillId="38" borderId="10" xfId="0" applyFont="1" applyFill="1" applyBorder="1" applyAlignment="1" quotePrefix="1">
      <alignment horizontal="left" vertical="center"/>
    </xf>
    <xf numFmtId="0" fontId="170" fillId="7" borderId="60" xfId="0" applyFont="1" applyFill="1" applyBorder="1" applyAlignment="1">
      <alignment horizontal="left" vertical="center"/>
    </xf>
    <xf numFmtId="0" fontId="10" fillId="12" borderId="10" xfId="0" applyFont="1" applyFill="1" applyBorder="1" applyAlignment="1">
      <alignment horizontal="center" vertical="center" wrapText="1"/>
    </xf>
    <xf numFmtId="0" fontId="10" fillId="38" borderId="28" xfId="0" applyFont="1" applyFill="1" applyBorder="1" applyAlignment="1" quotePrefix="1">
      <alignment horizontal="right" vertical="center"/>
    </xf>
    <xf numFmtId="0" fontId="10" fillId="38" borderId="24" xfId="0" applyFont="1" applyFill="1" applyBorder="1" applyAlignment="1" quotePrefix="1">
      <alignment horizontal="right" vertical="center"/>
    </xf>
    <xf numFmtId="0" fontId="90" fillId="43" borderId="56" xfId="0" applyFont="1" applyFill="1" applyBorder="1" applyAlignment="1">
      <alignment horizontal="left" vertical="center" wrapText="1"/>
    </xf>
    <xf numFmtId="0" fontId="16" fillId="33" borderId="27" xfId="0" applyFont="1" applyFill="1" applyBorder="1" applyAlignment="1">
      <alignment horizontal="center" vertical="center" wrapText="1"/>
    </xf>
    <xf numFmtId="0" fontId="25" fillId="0" borderId="7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6" xfId="0" applyFont="1" applyBorder="1" applyAlignment="1">
      <alignment horizontal="center" vertical="center" wrapText="1"/>
    </xf>
    <xf numFmtId="0" fontId="170" fillId="40" borderId="77" xfId="0" applyFont="1" applyFill="1" applyBorder="1" applyAlignment="1">
      <alignment horizontal="center" vertical="center" wrapText="1"/>
    </xf>
    <xf numFmtId="0" fontId="170" fillId="40" borderId="0" xfId="0" applyFont="1" applyFill="1" applyBorder="1" applyAlignment="1">
      <alignment horizontal="center" vertical="center" wrapText="1"/>
    </xf>
    <xf numFmtId="0" fontId="170" fillId="40" borderId="66" xfId="0" applyFont="1" applyFill="1" applyBorder="1" applyAlignment="1">
      <alignment horizontal="center" vertical="center" wrapText="1"/>
    </xf>
    <xf numFmtId="0" fontId="175" fillId="0" borderId="78" xfId="0" applyFont="1" applyBorder="1" applyAlignment="1">
      <alignment horizontal="center" vertical="center" wrapText="1"/>
    </xf>
    <xf numFmtId="0" fontId="175" fillId="0" borderId="62" xfId="0" applyFont="1" applyBorder="1" applyAlignment="1">
      <alignment horizontal="center" vertical="center" wrapText="1"/>
    </xf>
    <xf numFmtId="0" fontId="175" fillId="0" borderId="79"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5" xfId="0" applyBorder="1" applyAlignment="1">
      <alignment horizontal="center" vertical="center"/>
    </xf>
    <xf numFmtId="0" fontId="90" fillId="43" borderId="59" xfId="0" applyFont="1" applyFill="1" applyBorder="1" applyAlignment="1">
      <alignment horizontal="left" vertical="center"/>
    </xf>
    <xf numFmtId="0" fontId="90" fillId="43" borderId="60" xfId="0" applyFont="1" applyFill="1" applyBorder="1" applyAlignment="1">
      <alignment horizontal="left" vertical="center"/>
    </xf>
    <xf numFmtId="0" fontId="90" fillId="43" borderId="61" xfId="0" applyFont="1" applyFill="1" applyBorder="1" applyAlignment="1">
      <alignment horizontal="left" vertical="center"/>
    </xf>
    <xf numFmtId="0" fontId="180" fillId="46" borderId="80" xfId="0" applyFont="1" applyFill="1" applyBorder="1" applyAlignment="1">
      <alignment horizontal="left" vertical="center" wrapText="1"/>
    </xf>
    <xf numFmtId="0" fontId="180" fillId="46" borderId="53" xfId="0" applyFont="1" applyFill="1" applyBorder="1" applyAlignment="1">
      <alignment horizontal="left" vertical="center" wrapText="1"/>
    </xf>
    <xf numFmtId="0" fontId="180" fillId="46" borderId="54" xfId="0" applyFont="1" applyFill="1" applyBorder="1" applyAlignment="1">
      <alignment horizontal="left" vertical="center" wrapText="1"/>
    </xf>
    <xf numFmtId="0" fontId="180" fillId="46" borderId="49" xfId="0" applyFont="1" applyFill="1" applyBorder="1" applyAlignment="1">
      <alignment horizontal="left" vertical="center" wrapText="1"/>
    </xf>
    <xf numFmtId="0" fontId="180" fillId="46" borderId="0" xfId="0" applyFont="1" applyFill="1" applyBorder="1" applyAlignment="1">
      <alignment horizontal="left" vertical="center" wrapText="1"/>
    </xf>
    <xf numFmtId="0" fontId="180" fillId="46" borderId="66" xfId="0" applyFont="1" applyFill="1" applyBorder="1" applyAlignment="1">
      <alignment horizontal="left" vertical="center" wrapText="1"/>
    </xf>
    <xf numFmtId="0" fontId="180" fillId="46" borderId="81" xfId="0" applyFont="1" applyFill="1" applyBorder="1" applyAlignment="1">
      <alignment horizontal="left" vertical="center" wrapText="1"/>
    </xf>
    <xf numFmtId="0" fontId="180" fillId="46" borderId="62" xfId="0" applyFont="1" applyFill="1" applyBorder="1" applyAlignment="1">
      <alignment horizontal="left" vertical="center" wrapText="1"/>
    </xf>
    <xf numFmtId="0" fontId="180" fillId="46" borderId="79" xfId="0" applyFont="1" applyFill="1" applyBorder="1" applyAlignment="1">
      <alignment horizontal="left" vertical="center" wrapText="1"/>
    </xf>
    <xf numFmtId="0" fontId="169" fillId="0" borderId="82" xfId="0" applyFont="1" applyBorder="1" applyAlignment="1">
      <alignment horizontal="center" vertical="center"/>
    </xf>
    <xf numFmtId="0" fontId="169" fillId="0" borderId="53" xfId="0" applyFont="1" applyBorder="1" applyAlignment="1">
      <alignment horizontal="center" vertical="center"/>
    </xf>
    <xf numFmtId="0" fontId="169" fillId="0" borderId="54" xfId="0" applyFont="1" applyBorder="1" applyAlignment="1">
      <alignment horizontal="center" vertical="center"/>
    </xf>
    <xf numFmtId="0" fontId="170" fillId="0" borderId="77" xfId="0" applyFont="1" applyBorder="1" applyAlignment="1">
      <alignment horizontal="center" vertical="center" wrapText="1"/>
    </xf>
    <xf numFmtId="0" fontId="170" fillId="0" borderId="0" xfId="0" applyFont="1" applyBorder="1" applyAlignment="1">
      <alignment horizontal="center" vertical="center" wrapText="1"/>
    </xf>
    <xf numFmtId="0" fontId="170" fillId="0" borderId="66" xfId="0" applyFont="1" applyBorder="1" applyAlignment="1">
      <alignment horizontal="center" vertical="center" wrapText="1"/>
    </xf>
    <xf numFmtId="0" fontId="170" fillId="40" borderId="77" xfId="0" applyFont="1" applyFill="1" applyBorder="1" applyAlignment="1">
      <alignment horizontal="left" vertical="center" wrapText="1"/>
    </xf>
    <xf numFmtId="0" fontId="170" fillId="40" borderId="0" xfId="0" applyFont="1" applyFill="1" applyBorder="1" applyAlignment="1">
      <alignment horizontal="left" vertical="center" wrapText="1"/>
    </xf>
    <xf numFmtId="0" fontId="170" fillId="40" borderId="66" xfId="0" applyFont="1" applyFill="1" applyBorder="1" applyAlignment="1">
      <alignment horizontal="left" vertical="center" wrapText="1"/>
    </xf>
    <xf numFmtId="0" fontId="175" fillId="0" borderId="77" xfId="0" applyFont="1" applyBorder="1" applyAlignment="1">
      <alignment horizontal="left" vertical="center" wrapText="1"/>
    </xf>
    <xf numFmtId="0" fontId="175" fillId="0" borderId="0" xfId="0" applyFont="1" applyBorder="1" applyAlignment="1">
      <alignment horizontal="left" vertical="center" wrapText="1"/>
    </xf>
    <xf numFmtId="0" fontId="175" fillId="0" borderId="66" xfId="0" applyFont="1" applyBorder="1" applyAlignment="1">
      <alignment horizontal="left" vertical="center" wrapText="1"/>
    </xf>
    <xf numFmtId="0" fontId="169" fillId="0" borderId="77" xfId="0" applyFont="1" applyBorder="1" applyAlignment="1">
      <alignment horizontal="center" vertical="center" wrapText="1"/>
    </xf>
    <xf numFmtId="0" fontId="169" fillId="0" borderId="0" xfId="0" applyFont="1" applyBorder="1" applyAlignment="1">
      <alignment horizontal="center" vertical="center" wrapText="1"/>
    </xf>
    <xf numFmtId="0" fontId="169" fillId="0" borderId="66" xfId="0" applyFont="1" applyBorder="1" applyAlignment="1">
      <alignment horizontal="center" vertical="center" wrapText="1"/>
    </xf>
    <xf numFmtId="0" fontId="87" fillId="35" borderId="0" xfId="0" applyFont="1" applyFill="1" applyAlignment="1" applyProtection="1">
      <alignment horizontal="center" vertical="center" wrapText="1"/>
      <protection/>
    </xf>
    <xf numFmtId="0" fontId="0" fillId="4" borderId="45" xfId="0" applyFont="1" applyFill="1" applyBorder="1" applyAlignment="1" applyProtection="1">
      <alignment horizontal="center" vertical="center"/>
      <protection/>
    </xf>
    <xf numFmtId="0" fontId="0" fillId="4" borderId="17" xfId="0" applyFont="1" applyFill="1" applyBorder="1" applyAlignment="1" applyProtection="1">
      <alignment horizontal="center" vertical="center"/>
      <protection/>
    </xf>
    <xf numFmtId="3" fontId="1" fillId="4" borderId="17" xfId="0" applyNumberFormat="1" applyFont="1" applyFill="1" applyBorder="1" applyAlignment="1" applyProtection="1">
      <alignment horizontal="center" vertical="center"/>
      <protection/>
    </xf>
    <xf numFmtId="3" fontId="1" fillId="4" borderId="36" xfId="0" applyNumberFormat="1" applyFont="1" applyFill="1" applyBorder="1" applyAlignment="1" applyProtection="1">
      <alignment horizontal="center" vertical="center"/>
      <protection/>
    </xf>
    <xf numFmtId="0" fontId="59" fillId="34" borderId="83" xfId="0" applyFont="1" applyFill="1" applyBorder="1" applyAlignment="1" applyProtection="1">
      <alignment vertical="center" wrapText="1"/>
      <protection/>
    </xf>
    <xf numFmtId="0" fontId="59" fillId="34" borderId="84" xfId="0" applyFont="1" applyFill="1" applyBorder="1" applyAlignment="1" applyProtection="1">
      <alignment vertical="center" wrapText="1"/>
      <protection/>
    </xf>
    <xf numFmtId="0" fontId="59" fillId="34" borderId="85" xfId="0" applyFont="1" applyFill="1" applyBorder="1" applyAlignment="1" applyProtection="1">
      <alignment vertical="center" wrapText="1"/>
      <protection/>
    </xf>
    <xf numFmtId="0" fontId="59" fillId="34" borderId="86" xfId="0" applyFont="1" applyFill="1" applyBorder="1" applyAlignment="1" applyProtection="1">
      <alignment vertical="center" wrapText="1"/>
      <protection/>
    </xf>
    <xf numFmtId="189" fontId="63" fillId="0" borderId="33" xfId="0" applyNumberFormat="1" applyFont="1" applyFill="1" applyBorder="1" applyAlignment="1" applyProtection="1">
      <alignment horizontal="left" vertical="center"/>
      <protection/>
    </xf>
    <xf numFmtId="10" fontId="81" fillId="34" borderId="48" xfId="44" applyNumberFormat="1" applyFont="1" applyFill="1" applyBorder="1" applyAlignment="1" applyProtection="1">
      <alignment horizontal="center" vertical="center" wrapText="1"/>
      <protection/>
    </xf>
    <xf numFmtId="0" fontId="41" fillId="4" borderId="10" xfId="0" applyFont="1" applyFill="1" applyBorder="1" applyAlignment="1" applyProtection="1">
      <alignment horizontal="center" vertical="center"/>
      <protection/>
    </xf>
    <xf numFmtId="3" fontId="21" fillId="4" borderId="10" xfId="44" applyNumberFormat="1" applyFont="1" applyFill="1" applyBorder="1" applyAlignment="1" applyProtection="1">
      <alignment horizontal="center" vertical="center"/>
      <protection/>
    </xf>
    <xf numFmtId="3" fontId="21" fillId="4" borderId="15" xfId="44" applyNumberFormat="1" applyFont="1" applyFill="1" applyBorder="1" applyAlignment="1" applyProtection="1">
      <alignment horizontal="center" vertical="center"/>
      <protection/>
    </xf>
    <xf numFmtId="3" fontId="40" fillId="4" borderId="10" xfId="44" applyNumberFormat="1" applyFont="1" applyFill="1" applyBorder="1" applyAlignment="1" applyProtection="1">
      <alignment horizontal="center" vertical="center"/>
      <protection/>
    </xf>
    <xf numFmtId="3" fontId="40" fillId="4" borderId="15" xfId="44" applyNumberFormat="1" applyFont="1" applyFill="1" applyBorder="1" applyAlignment="1" applyProtection="1">
      <alignment horizontal="center" vertical="center"/>
      <protection/>
    </xf>
    <xf numFmtId="0" fontId="41" fillId="4" borderId="42" xfId="0" applyFont="1" applyFill="1" applyBorder="1" applyAlignment="1" applyProtection="1">
      <alignment horizontal="center" vertical="center" wrapText="1"/>
      <protection/>
    </xf>
    <xf numFmtId="3" fontId="1" fillId="4" borderId="10" xfId="44" applyNumberFormat="1" applyFont="1" applyFill="1" applyBorder="1" applyAlignment="1" applyProtection="1">
      <alignment horizontal="center" vertical="center"/>
      <protection/>
    </xf>
    <xf numFmtId="3" fontId="1" fillId="4" borderId="15" xfId="44" applyNumberFormat="1" applyFont="1" applyFill="1" applyBorder="1" applyAlignment="1" applyProtection="1">
      <alignment horizontal="center" vertical="center"/>
      <protection/>
    </xf>
    <xf numFmtId="0" fontId="41" fillId="4" borderId="10" xfId="0" applyFont="1" applyFill="1" applyBorder="1" applyAlignment="1" applyProtection="1">
      <alignment horizontal="center" vertical="center" wrapText="1"/>
      <protection/>
    </xf>
    <xf numFmtId="10" fontId="81" fillId="10" borderId="49" xfId="44" applyNumberFormat="1" applyFont="1" applyFill="1" applyBorder="1" applyAlignment="1" applyProtection="1">
      <alignment horizontal="center" vertical="center" wrapText="1"/>
      <protection/>
    </xf>
    <xf numFmtId="10" fontId="81" fillId="10" borderId="87" xfId="44" applyNumberFormat="1" applyFont="1" applyFill="1" applyBorder="1" applyAlignment="1" applyProtection="1">
      <alignment horizontal="center" vertical="center" wrapText="1"/>
      <protection/>
    </xf>
    <xf numFmtId="10" fontId="81" fillId="45" borderId="44" xfId="44" applyNumberFormat="1" applyFont="1" applyFill="1" applyBorder="1" applyAlignment="1" applyProtection="1">
      <alignment horizontal="center" vertical="center" wrapText="1"/>
      <protection/>
    </xf>
    <xf numFmtId="10" fontId="81" fillId="45" borderId="88" xfId="44" applyNumberFormat="1" applyFont="1" applyFill="1" applyBorder="1" applyAlignment="1" applyProtection="1">
      <alignment horizontal="center" vertical="center" wrapText="1"/>
      <protection/>
    </xf>
    <xf numFmtId="188" fontId="17" fillId="35" borderId="0" xfId="44" applyNumberFormat="1" applyFont="1" applyFill="1" applyBorder="1" applyAlignment="1" applyProtection="1">
      <alignment horizontal="center" vertical="center"/>
      <protection/>
    </xf>
    <xf numFmtId="0" fontId="41" fillId="4" borderId="42" xfId="0" applyFont="1" applyFill="1" applyBorder="1" applyAlignment="1" applyProtection="1">
      <alignment horizontal="center" vertical="center"/>
      <protection/>
    </xf>
    <xf numFmtId="0" fontId="1" fillId="32" borderId="48" xfId="0" applyFont="1" applyFill="1" applyBorder="1" applyAlignment="1" applyProtection="1">
      <alignment horizontal="left" vertical="center"/>
      <protection/>
    </xf>
    <xf numFmtId="0" fontId="1" fillId="32" borderId="0" xfId="0" applyFont="1" applyFill="1" applyBorder="1" applyAlignment="1" applyProtection="1">
      <alignment horizontal="left" vertical="center"/>
      <protection/>
    </xf>
    <xf numFmtId="0" fontId="59" fillId="32" borderId="0" xfId="0" applyFont="1" applyFill="1" applyBorder="1" applyAlignment="1" applyProtection="1">
      <alignment horizontal="left" vertical="top" wrapText="1"/>
      <protection/>
    </xf>
    <xf numFmtId="0" fontId="59" fillId="32" borderId="52" xfId="0" applyFont="1" applyFill="1" applyBorder="1" applyAlignment="1" applyProtection="1">
      <alignment horizontal="left" vertical="top" wrapText="1"/>
      <protection/>
    </xf>
    <xf numFmtId="0" fontId="58" fillId="32" borderId="48" xfId="0" applyFont="1" applyFill="1" applyBorder="1" applyAlignment="1" applyProtection="1">
      <alignment horizontal="left" vertical="center"/>
      <protection/>
    </xf>
    <xf numFmtId="0" fontId="58" fillId="32" borderId="0" xfId="0" applyFont="1" applyFill="1" applyBorder="1" applyAlignment="1" applyProtection="1">
      <alignment horizontal="left" vertical="center"/>
      <protection/>
    </xf>
    <xf numFmtId="0" fontId="28" fillId="32" borderId="85" xfId="0" applyFont="1" applyFill="1" applyBorder="1" applyAlignment="1" applyProtection="1">
      <alignment horizontal="left" vertical="center" wrapText="1"/>
      <protection/>
    </xf>
    <xf numFmtId="0" fontId="28" fillId="32" borderId="19" xfId="0" applyFont="1" applyFill="1" applyBorder="1" applyAlignment="1" applyProtection="1">
      <alignment horizontal="left" vertical="center" wrapText="1"/>
      <protection/>
    </xf>
    <xf numFmtId="0" fontId="171" fillId="39" borderId="0" xfId="0" applyNumberFormat="1" applyFont="1" applyFill="1" applyBorder="1" applyAlignment="1" applyProtection="1">
      <alignment horizontal="justify" vertical="center" wrapText="1"/>
      <protection/>
    </xf>
    <xf numFmtId="0" fontId="181" fillId="39" borderId="0" xfId="0" applyNumberFormat="1" applyFont="1" applyFill="1" applyBorder="1" applyAlignment="1" applyProtection="1">
      <alignment horizontal="center" vertical="center" wrapText="1"/>
      <protection/>
    </xf>
    <xf numFmtId="0" fontId="27" fillId="10" borderId="39" xfId="0" applyFont="1" applyFill="1" applyBorder="1" applyAlignment="1" applyProtection="1">
      <alignment vertical="center"/>
      <protection/>
    </xf>
    <xf numFmtId="0" fontId="27" fillId="10" borderId="89" xfId="0" applyFont="1" applyFill="1" applyBorder="1" applyAlignment="1" applyProtection="1">
      <alignment vertical="center"/>
      <protection/>
    </xf>
    <xf numFmtId="0" fontId="27" fillId="10" borderId="40" xfId="0" applyFont="1" applyFill="1" applyBorder="1" applyAlignment="1" applyProtection="1">
      <alignment vertical="center"/>
      <protection/>
    </xf>
    <xf numFmtId="0" fontId="0" fillId="4" borderId="42" xfId="0" applyFont="1" applyFill="1" applyBorder="1" applyAlignment="1" applyProtection="1">
      <alignment horizontal="center" vertical="center"/>
      <protection/>
    </xf>
    <xf numFmtId="0" fontId="0" fillId="4" borderId="10" xfId="0" applyFont="1" applyFill="1" applyBorder="1" applyAlignment="1" applyProtection="1">
      <alignment horizontal="center" vertical="center"/>
      <protection/>
    </xf>
    <xf numFmtId="0" fontId="72" fillId="4" borderId="10" xfId="0" applyFont="1" applyFill="1" applyBorder="1" applyAlignment="1" applyProtection="1">
      <alignment horizontal="center" vertical="center"/>
      <protection/>
    </xf>
    <xf numFmtId="0" fontId="72" fillId="4" borderId="15" xfId="0" applyFont="1" applyFill="1" applyBorder="1" applyAlignment="1" applyProtection="1">
      <alignment horizontal="center" vertical="center"/>
      <protection/>
    </xf>
    <xf numFmtId="0" fontId="30" fillId="0" borderId="83" xfId="0" applyFont="1" applyFill="1" applyBorder="1" applyAlignment="1" applyProtection="1">
      <alignment horizontal="left" vertical="center" wrapText="1"/>
      <protection/>
    </xf>
    <xf numFmtId="0" fontId="30" fillId="0" borderId="33" xfId="0" applyFont="1" applyFill="1" applyBorder="1" applyAlignment="1" applyProtection="1">
      <alignment horizontal="left" vertical="center" wrapText="1"/>
      <protection/>
    </xf>
    <xf numFmtId="0" fontId="100" fillId="0" borderId="90" xfId="0" applyFont="1" applyFill="1" applyBorder="1" applyAlignment="1" applyProtection="1">
      <alignment horizontal="center" vertical="center" wrapText="1"/>
      <protection/>
    </xf>
    <xf numFmtId="0" fontId="100" fillId="0" borderId="91" xfId="0" applyFont="1" applyFill="1" applyBorder="1" applyAlignment="1" applyProtection="1">
      <alignment horizontal="center" vertical="center" wrapText="1"/>
      <protection/>
    </xf>
    <xf numFmtId="0" fontId="48" fillId="32" borderId="0" xfId="0" applyFont="1" applyFill="1" applyBorder="1" applyAlignment="1" applyProtection="1">
      <alignment horizontal="left" vertical="top" wrapText="1"/>
      <protection/>
    </xf>
    <xf numFmtId="0" fontId="48" fillId="32" borderId="52" xfId="0" applyFont="1" applyFill="1" applyBorder="1" applyAlignment="1" applyProtection="1">
      <alignment horizontal="left" vertical="top" wrapText="1"/>
      <protection/>
    </xf>
    <xf numFmtId="0" fontId="101" fillId="0" borderId="92" xfId="0" applyFont="1" applyBorder="1" applyAlignment="1" applyProtection="1">
      <alignment horizontal="center" vertical="center"/>
      <protection/>
    </xf>
    <xf numFmtId="0" fontId="101" fillId="0" borderId="93" xfId="0" applyFont="1" applyBorder="1" applyAlignment="1" applyProtection="1">
      <alignment horizontal="center" vertical="center"/>
      <protection/>
    </xf>
    <xf numFmtId="0" fontId="60" fillId="0" borderId="11" xfId="0" applyFont="1" applyBorder="1" applyAlignment="1" applyProtection="1">
      <alignment vertical="center"/>
      <protection/>
    </xf>
    <xf numFmtId="0" fontId="60" fillId="0" borderId="23" xfId="0" applyFont="1" applyBorder="1" applyAlignment="1" applyProtection="1">
      <alignment vertical="center"/>
      <protection/>
    </xf>
    <xf numFmtId="0" fontId="60" fillId="0" borderId="47" xfId="0" applyFont="1" applyBorder="1" applyAlignment="1" applyProtection="1">
      <alignment vertical="center"/>
      <protection/>
    </xf>
    <xf numFmtId="0" fontId="60" fillId="0" borderId="94" xfId="0" applyFont="1" applyBorder="1" applyAlignment="1" applyProtection="1">
      <alignment vertical="center"/>
      <protection/>
    </xf>
    <xf numFmtId="0" fontId="60" fillId="0" borderId="44" xfId="0" applyFont="1" applyBorder="1" applyAlignment="1" applyProtection="1">
      <alignment vertical="center"/>
      <protection/>
    </xf>
    <xf numFmtId="0" fontId="60" fillId="0" borderId="88" xfId="0" applyFont="1" applyBorder="1" applyAlignment="1" applyProtection="1">
      <alignment vertical="center"/>
      <protection/>
    </xf>
    <xf numFmtId="3" fontId="45" fillId="36" borderId="40" xfId="0" applyNumberFormat="1" applyFont="1" applyFill="1" applyBorder="1" applyAlignment="1" applyProtection="1">
      <alignment horizontal="center" vertical="center" wrapText="1"/>
      <protection/>
    </xf>
    <xf numFmtId="3" fontId="45" fillId="36" borderId="15" xfId="0" applyNumberFormat="1" applyFont="1" applyFill="1" applyBorder="1" applyAlignment="1" applyProtection="1">
      <alignment horizontal="center" vertical="center" wrapText="1"/>
      <protection/>
    </xf>
    <xf numFmtId="0" fontId="51" fillId="0" borderId="33" xfId="0" applyFont="1" applyFill="1" applyBorder="1" applyAlignment="1" applyProtection="1">
      <alignment horizontal="center" vertical="center" wrapText="1"/>
      <protection/>
    </xf>
    <xf numFmtId="0" fontId="42" fillId="0" borderId="20" xfId="0" applyFont="1" applyFill="1" applyBorder="1" applyAlignment="1" applyProtection="1">
      <alignment horizontal="left" vertical="center" wrapText="1"/>
      <protection/>
    </xf>
    <xf numFmtId="0" fontId="42" fillId="0" borderId="21" xfId="0" applyFont="1" applyFill="1" applyBorder="1" applyAlignment="1" applyProtection="1">
      <alignment horizontal="left" vertical="center" wrapText="1"/>
      <protection/>
    </xf>
    <xf numFmtId="0" fontId="42" fillId="0" borderId="41" xfId="0" applyFont="1" applyFill="1" applyBorder="1" applyAlignment="1" applyProtection="1">
      <alignment horizontal="left" vertical="center" wrapText="1"/>
      <protection/>
    </xf>
    <xf numFmtId="0" fontId="55" fillId="0" borderId="33" xfId="0" applyFont="1" applyFill="1" applyBorder="1" applyAlignment="1" applyProtection="1">
      <alignment horizontal="center" vertical="center" wrapText="1"/>
      <protection/>
    </xf>
    <xf numFmtId="0" fontId="55" fillId="50" borderId="0" xfId="0" applyFont="1" applyFill="1" applyBorder="1" applyAlignment="1" applyProtection="1">
      <alignment horizontal="center" vertical="center" wrapText="1"/>
      <protection/>
    </xf>
    <xf numFmtId="0" fontId="55" fillId="0" borderId="19" xfId="0" applyFont="1" applyFill="1" applyBorder="1" applyAlignment="1" applyProtection="1">
      <alignment horizontal="center" vertical="center" wrapText="1"/>
      <protection/>
    </xf>
    <xf numFmtId="0" fontId="42" fillId="0" borderId="95" xfId="0" applyFont="1" applyFill="1" applyBorder="1" applyAlignment="1" applyProtection="1">
      <alignment vertical="center"/>
      <protection/>
    </xf>
    <xf numFmtId="0" fontId="42" fillId="0" borderId="96" xfId="0" applyFont="1" applyFill="1" applyBorder="1" applyAlignment="1" applyProtection="1">
      <alignment vertical="center"/>
      <protection/>
    </xf>
    <xf numFmtId="0" fontId="42" fillId="0" borderId="97" xfId="0" applyFont="1" applyFill="1" applyBorder="1" applyAlignment="1" applyProtection="1">
      <alignment vertical="center"/>
      <protection/>
    </xf>
    <xf numFmtId="0" fontId="45" fillId="36" borderId="98" xfId="0" applyFont="1" applyFill="1" applyBorder="1" applyAlignment="1" applyProtection="1">
      <alignment horizontal="center" vertical="center" wrapText="1"/>
      <protection/>
    </xf>
    <xf numFmtId="0" fontId="45" fillId="36" borderId="42" xfId="0" applyFont="1" applyFill="1" applyBorder="1" applyAlignment="1" applyProtection="1">
      <alignment horizontal="center" vertical="center" wrapText="1"/>
      <protection/>
    </xf>
    <xf numFmtId="0" fontId="45" fillId="36" borderId="23" xfId="0" applyFont="1" applyFill="1" applyBorder="1" applyAlignment="1" applyProtection="1">
      <alignment horizontal="center" vertical="center" wrapText="1"/>
      <protection/>
    </xf>
    <xf numFmtId="0" fontId="45" fillId="36" borderId="92" xfId="0" applyFont="1" applyFill="1" applyBorder="1" applyAlignment="1" applyProtection="1">
      <alignment horizontal="center" vertical="center" wrapText="1"/>
      <protection/>
    </xf>
    <xf numFmtId="0" fontId="45" fillId="36" borderId="10" xfId="0" applyFont="1" applyFill="1" applyBorder="1" applyAlignment="1" applyProtection="1">
      <alignment horizontal="center" vertical="center" wrapText="1"/>
      <protection/>
    </xf>
    <xf numFmtId="3" fontId="45" fillId="36" borderId="67" xfId="0" applyNumberFormat="1" applyFont="1" applyFill="1" applyBorder="1" applyAlignment="1" applyProtection="1">
      <alignment horizontal="center" vertical="center" wrapText="1"/>
      <protection/>
    </xf>
    <xf numFmtId="3" fontId="45" fillId="36" borderId="14" xfId="0" applyNumberFormat="1" applyFont="1" applyFill="1" applyBorder="1" applyAlignment="1" applyProtection="1">
      <alignment horizontal="center" vertical="center" wrapText="1"/>
      <protection/>
    </xf>
    <xf numFmtId="3" fontId="45" fillId="36" borderId="89" xfId="0" applyNumberFormat="1" applyFont="1" applyFill="1" applyBorder="1" applyAlignment="1" applyProtection="1">
      <alignment horizontal="center" vertical="center" wrapText="1"/>
      <protection/>
    </xf>
    <xf numFmtId="3" fontId="45" fillId="36" borderId="10" xfId="0" applyNumberFormat="1" applyFont="1" applyFill="1" applyBorder="1" applyAlignment="1" applyProtection="1">
      <alignment horizontal="center" vertical="center" wrapText="1"/>
      <protection/>
    </xf>
    <xf numFmtId="0" fontId="33" fillId="0" borderId="19" xfId="0" applyFont="1" applyBorder="1" applyAlignment="1" applyProtection="1">
      <alignment horizontal="center" vertical="center"/>
      <protection/>
    </xf>
    <xf numFmtId="0" fontId="39" fillId="0" borderId="34" xfId="0" applyFont="1" applyFill="1" applyBorder="1" applyAlignment="1" applyProtection="1">
      <alignment horizontal="center" vertical="center"/>
      <protection/>
    </xf>
    <xf numFmtId="0" fontId="39" fillId="0" borderId="21" xfId="0" applyFont="1" applyFill="1" applyBorder="1" applyAlignment="1" applyProtection="1">
      <alignment horizontal="center" vertical="center"/>
      <protection/>
    </xf>
    <xf numFmtId="49" fontId="11" fillId="0" borderId="89" xfId="0" applyNumberFormat="1" applyFont="1" applyFill="1" applyBorder="1" applyAlignment="1" applyProtection="1">
      <alignment horizontal="center" vertical="center"/>
      <protection/>
    </xf>
    <xf numFmtId="0" fontId="39" fillId="4" borderId="90" xfId="0" applyFont="1" applyFill="1" applyBorder="1" applyAlignment="1" applyProtection="1">
      <alignment horizontal="center" vertical="center"/>
      <protection/>
    </xf>
    <xf numFmtId="0" fontId="39" fillId="4" borderId="91" xfId="0" applyFont="1" applyFill="1" applyBorder="1" applyAlignment="1" applyProtection="1">
      <alignment horizontal="center" vertical="center"/>
      <protection/>
    </xf>
    <xf numFmtId="49" fontId="39" fillId="37" borderId="29" xfId="0" applyNumberFormat="1" applyFont="1" applyFill="1" applyBorder="1" applyAlignment="1" applyProtection="1">
      <alignment horizontal="center" vertical="center"/>
      <protection locked="0"/>
    </xf>
    <xf numFmtId="49" fontId="39" fillId="37" borderId="31" xfId="0" applyNumberFormat="1" applyFont="1" applyFill="1" applyBorder="1" applyAlignment="1" applyProtection="1">
      <alignment horizontal="center" vertical="center"/>
      <protection locked="0"/>
    </xf>
    <xf numFmtId="49" fontId="97" fillId="37" borderId="24" xfId="0" applyNumberFormat="1" applyFont="1" applyFill="1" applyBorder="1" applyAlignment="1" applyProtection="1">
      <alignment horizontal="center" vertical="center"/>
      <protection locked="0"/>
    </xf>
    <xf numFmtId="0" fontId="39" fillId="4" borderId="99" xfId="0" applyFont="1" applyFill="1" applyBorder="1" applyAlignment="1" applyProtection="1">
      <alignment vertical="center"/>
      <protection/>
    </xf>
    <xf numFmtId="0" fontId="39" fillId="4" borderId="100" xfId="0" applyFont="1" applyFill="1" applyBorder="1" applyAlignment="1" applyProtection="1">
      <alignment vertical="center"/>
      <protection/>
    </xf>
    <xf numFmtId="0" fontId="25" fillId="39" borderId="63" xfId="0" applyFont="1" applyFill="1" applyBorder="1" applyAlignment="1" applyProtection="1">
      <alignment horizontal="center" vertical="center" wrapText="1"/>
      <protection locked="0"/>
    </xf>
    <xf numFmtId="0" fontId="25" fillId="39" borderId="64" xfId="0" applyFont="1" applyFill="1" applyBorder="1" applyAlignment="1" applyProtection="1">
      <alignment horizontal="center" vertical="center"/>
      <protection locked="0"/>
    </xf>
    <xf numFmtId="0" fontId="25" fillId="39" borderId="101" xfId="0" applyFont="1" applyFill="1" applyBorder="1" applyAlignment="1" applyProtection="1">
      <alignment horizontal="center" vertical="center"/>
      <protection locked="0"/>
    </xf>
    <xf numFmtId="0" fontId="25" fillId="39" borderId="49" xfId="0" applyFont="1" applyFill="1" applyBorder="1" applyAlignment="1" applyProtection="1">
      <alignment horizontal="center" vertical="center"/>
      <protection locked="0"/>
    </xf>
    <xf numFmtId="0" fontId="25" fillId="39" borderId="0" xfId="0" applyFont="1" applyFill="1" applyBorder="1" applyAlignment="1" applyProtection="1">
      <alignment horizontal="center" vertical="center"/>
      <protection locked="0"/>
    </xf>
    <xf numFmtId="0" fontId="25" fillId="39" borderId="52" xfId="0" applyFont="1" applyFill="1" applyBorder="1" applyAlignment="1" applyProtection="1">
      <alignment horizontal="center" vertical="center"/>
      <protection locked="0"/>
    </xf>
    <xf numFmtId="0" fontId="25" fillId="39" borderId="67" xfId="0" applyFont="1" applyFill="1" applyBorder="1" applyAlignment="1" applyProtection="1">
      <alignment horizontal="center" vertical="center"/>
      <protection locked="0"/>
    </xf>
    <xf numFmtId="0" fontId="25" fillId="39" borderId="68" xfId="0" applyFont="1" applyFill="1" applyBorder="1" applyAlignment="1" applyProtection="1">
      <alignment horizontal="center" vertical="center"/>
      <protection locked="0"/>
    </xf>
    <xf numFmtId="0" fontId="25" fillId="39" borderId="102" xfId="0" applyFont="1" applyFill="1" applyBorder="1" applyAlignment="1" applyProtection="1">
      <alignment horizontal="center" vertical="center"/>
      <protection locked="0"/>
    </xf>
    <xf numFmtId="0" fontId="0" fillId="39" borderId="0" xfId="0" applyFill="1" applyAlignment="1">
      <alignment horizontal="center"/>
    </xf>
    <xf numFmtId="0" fontId="92" fillId="39" borderId="10" xfId="0" applyFont="1" applyFill="1" applyBorder="1" applyAlignment="1">
      <alignment horizontal="center" vertical="center"/>
    </xf>
    <xf numFmtId="0" fontId="20" fillId="39" borderId="0" xfId="0" applyFont="1" applyFill="1" applyAlignment="1">
      <alignment horizontal="center" vertical="top"/>
    </xf>
    <xf numFmtId="0" fontId="46" fillId="39" borderId="10" xfId="0" applyFont="1" applyFill="1" applyBorder="1" applyAlignment="1">
      <alignment horizontal="left" vertical="center" wrapText="1"/>
    </xf>
    <xf numFmtId="0" fontId="182" fillId="39" borderId="14" xfId="0" applyFont="1" applyFill="1" applyBorder="1" applyAlignment="1" applyProtection="1">
      <alignment horizontal="left" vertical="center"/>
      <protection locked="0"/>
    </xf>
    <xf numFmtId="0" fontId="182" fillId="39" borderId="13" xfId="0" applyFont="1" applyFill="1" applyBorder="1" applyAlignment="1" applyProtection="1">
      <alignment horizontal="left" vertical="center"/>
      <protection locked="0"/>
    </xf>
    <xf numFmtId="0" fontId="92" fillId="39" borderId="63" xfId="0" applyFont="1" applyFill="1" applyBorder="1" applyAlignment="1">
      <alignment horizontal="right" vertical="center"/>
    </xf>
    <xf numFmtId="0" fontId="92" fillId="39" borderId="67" xfId="0" applyFont="1" applyFill="1" applyBorder="1" applyAlignment="1">
      <alignment horizontal="right" vertical="center"/>
    </xf>
    <xf numFmtId="0" fontId="46" fillId="39" borderId="101" xfId="0" applyFont="1" applyFill="1" applyBorder="1" applyAlignment="1">
      <alignment horizontal="left" vertical="center"/>
    </xf>
    <xf numFmtId="0" fontId="46" fillId="39" borderId="102" xfId="0" applyFont="1" applyFill="1" applyBorder="1" applyAlignment="1">
      <alignment horizontal="left" vertical="center"/>
    </xf>
    <xf numFmtId="0" fontId="46" fillId="39" borderId="14" xfId="0" applyFont="1" applyFill="1" applyBorder="1" applyAlignment="1">
      <alignment horizontal="left" vertical="center"/>
    </xf>
    <xf numFmtId="0" fontId="46" fillId="39" borderId="13" xfId="0" applyFont="1" applyFill="1" applyBorder="1" applyAlignment="1">
      <alignment horizontal="left" vertical="center"/>
    </xf>
    <xf numFmtId="0" fontId="183" fillId="39" borderId="10" xfId="0" applyFont="1" applyFill="1" applyBorder="1" applyAlignment="1" applyProtection="1">
      <alignment horizontal="center" vertical="center"/>
      <protection locked="0"/>
    </xf>
    <xf numFmtId="0" fontId="91" fillId="39" borderId="0" xfId="0" applyFont="1" applyFill="1" applyAlignment="1">
      <alignment horizontal="right"/>
    </xf>
    <xf numFmtId="0" fontId="15" fillId="39" borderId="0" xfId="0" applyFont="1" applyFill="1" applyAlignment="1">
      <alignment horizontal="left"/>
    </xf>
    <xf numFmtId="0" fontId="15" fillId="39" borderId="0" xfId="0" applyFont="1" applyFill="1" applyAlignment="1">
      <alignment horizontal="center"/>
    </xf>
    <xf numFmtId="0" fontId="46" fillId="39" borderId="10" xfId="0" applyFont="1" applyFill="1" applyBorder="1" applyAlignment="1">
      <alignment horizontal="center" vertical="center"/>
    </xf>
    <xf numFmtId="1" fontId="92" fillId="39" borderId="10" xfId="0" applyNumberFormat="1" applyFont="1" applyFill="1" applyBorder="1" applyAlignment="1">
      <alignment horizontal="center" vertical="center"/>
    </xf>
    <xf numFmtId="0" fontId="0" fillId="39" borderId="64" xfId="0" applyFill="1" applyBorder="1" applyAlignment="1">
      <alignment horizontal="center"/>
    </xf>
    <xf numFmtId="0" fontId="0" fillId="0" borderId="64"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5">
    <dxf>
      <font>
        <b/>
        <i/>
        <color indexed="9"/>
      </font>
      <fill>
        <patternFill>
          <bgColor indexed="10"/>
        </patternFill>
      </fill>
    </dxf>
    <dxf>
      <fill>
        <patternFill>
          <bgColor indexed="14"/>
        </patternFill>
      </fill>
    </dxf>
    <dxf>
      <fill>
        <patternFill>
          <bgColor indexed="20"/>
        </patternFill>
      </fill>
    </dxf>
    <dxf>
      <fill>
        <patternFill>
          <bgColor indexed="1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22</xdr:row>
      <xdr:rowOff>57150</xdr:rowOff>
    </xdr:from>
    <xdr:to>
      <xdr:col>6</xdr:col>
      <xdr:colOff>876300</xdr:colOff>
      <xdr:row>23</xdr:row>
      <xdr:rowOff>200025</xdr:rowOff>
    </xdr:to>
    <xdr:sp>
      <xdr:nvSpPr>
        <xdr:cNvPr id="1" name="Right Arrow 2"/>
        <xdr:cNvSpPr>
          <a:spLocks/>
        </xdr:cNvSpPr>
      </xdr:nvSpPr>
      <xdr:spPr>
        <a:xfrm>
          <a:off x="5438775" y="8210550"/>
          <a:ext cx="238125" cy="419100"/>
        </a:xfrm>
        <a:prstGeom prst="rightArrow">
          <a:avLst>
            <a:gd name="adj" fmla="val 0"/>
          </a:avLst>
        </a:prstGeom>
        <a:solidFill>
          <a:srgbClr val="C0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133350</xdr:colOff>
      <xdr:row>7</xdr:row>
      <xdr:rowOff>962025</xdr:rowOff>
    </xdr:from>
    <xdr:to>
      <xdr:col>22</xdr:col>
      <xdr:colOff>200025</xdr:colOff>
      <xdr:row>7</xdr:row>
      <xdr:rowOff>962025</xdr:rowOff>
    </xdr:to>
    <xdr:sp>
      <xdr:nvSpPr>
        <xdr:cNvPr id="2" name="Line 166"/>
        <xdr:cNvSpPr>
          <a:spLocks/>
        </xdr:cNvSpPr>
      </xdr:nvSpPr>
      <xdr:spPr>
        <a:xfrm>
          <a:off x="11039475" y="3514725"/>
          <a:ext cx="4333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9525</xdr:colOff>
      <xdr:row>7</xdr:row>
      <xdr:rowOff>666750</xdr:rowOff>
    </xdr:from>
    <xdr:to>
      <xdr:col>17</xdr:col>
      <xdr:colOff>257175</xdr:colOff>
      <xdr:row>7</xdr:row>
      <xdr:rowOff>828675</xdr:rowOff>
    </xdr:to>
    <xdr:sp>
      <xdr:nvSpPr>
        <xdr:cNvPr id="3" name="Rectangle 167"/>
        <xdr:cNvSpPr>
          <a:spLocks/>
        </xdr:cNvSpPr>
      </xdr:nvSpPr>
      <xdr:spPr>
        <a:xfrm>
          <a:off x="11525250" y="3219450"/>
          <a:ext cx="857250" cy="161925"/>
        </a:xfrm>
        <a:prstGeom prst="rect">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342900</xdr:colOff>
      <xdr:row>7</xdr:row>
      <xdr:rowOff>285750</xdr:rowOff>
    </xdr:from>
    <xdr:to>
      <xdr:col>16</xdr:col>
      <xdr:colOff>9525</xdr:colOff>
      <xdr:row>7</xdr:row>
      <xdr:rowOff>695325</xdr:rowOff>
    </xdr:to>
    <xdr:sp>
      <xdr:nvSpPr>
        <xdr:cNvPr id="4" name="Text Box 168"/>
        <xdr:cNvSpPr txBox="1">
          <a:spLocks noChangeArrowheads="1"/>
        </xdr:cNvSpPr>
      </xdr:nvSpPr>
      <xdr:spPr>
        <a:xfrm>
          <a:off x="11249025" y="2838450"/>
          <a:ext cx="276225" cy="409575"/>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15</xdr:col>
      <xdr:colOff>228600</xdr:colOff>
      <xdr:row>7</xdr:row>
      <xdr:rowOff>704850</xdr:rowOff>
    </xdr:from>
    <xdr:to>
      <xdr:col>15</xdr:col>
      <xdr:colOff>466725</xdr:colOff>
      <xdr:row>7</xdr:row>
      <xdr:rowOff>704850</xdr:rowOff>
    </xdr:to>
    <xdr:sp>
      <xdr:nvSpPr>
        <xdr:cNvPr id="5" name="Line 169"/>
        <xdr:cNvSpPr>
          <a:spLocks/>
        </xdr:cNvSpPr>
      </xdr:nvSpPr>
      <xdr:spPr>
        <a:xfrm>
          <a:off x="11134725" y="3257550"/>
          <a:ext cx="2381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447675</xdr:colOff>
      <xdr:row>7</xdr:row>
      <xdr:rowOff>561975</xdr:rowOff>
    </xdr:from>
    <xdr:to>
      <xdr:col>16</xdr:col>
      <xdr:colOff>561975</xdr:colOff>
      <xdr:row>7</xdr:row>
      <xdr:rowOff>657225</xdr:rowOff>
    </xdr:to>
    <xdr:sp>
      <xdr:nvSpPr>
        <xdr:cNvPr id="6" name="AutoShape 171"/>
        <xdr:cNvSpPr>
          <a:spLocks/>
        </xdr:cNvSpPr>
      </xdr:nvSpPr>
      <xdr:spPr>
        <a:xfrm>
          <a:off x="11963400" y="3114675"/>
          <a:ext cx="114300" cy="95250"/>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476250</xdr:colOff>
      <xdr:row>7</xdr:row>
      <xdr:rowOff>533400</xdr:rowOff>
    </xdr:from>
    <xdr:to>
      <xdr:col>16</xdr:col>
      <xdr:colOff>542925</xdr:colOff>
      <xdr:row>7</xdr:row>
      <xdr:rowOff>609600</xdr:rowOff>
    </xdr:to>
    <xdr:sp>
      <xdr:nvSpPr>
        <xdr:cNvPr id="7" name="Oval 172"/>
        <xdr:cNvSpPr>
          <a:spLocks/>
        </xdr:cNvSpPr>
      </xdr:nvSpPr>
      <xdr:spPr>
        <a:xfrm>
          <a:off x="11991975" y="3086100"/>
          <a:ext cx="66675" cy="76200"/>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352425</xdr:colOff>
      <xdr:row>7</xdr:row>
      <xdr:rowOff>714375</xdr:rowOff>
    </xdr:from>
    <xdr:to>
      <xdr:col>15</xdr:col>
      <xdr:colOff>590550</xdr:colOff>
      <xdr:row>7</xdr:row>
      <xdr:rowOff>952500</xdr:rowOff>
    </xdr:to>
    <xdr:grpSp>
      <xdr:nvGrpSpPr>
        <xdr:cNvPr id="8" name="Group 173"/>
        <xdr:cNvGrpSpPr>
          <a:grpSpLocks/>
        </xdr:cNvGrpSpPr>
      </xdr:nvGrpSpPr>
      <xdr:grpSpPr>
        <a:xfrm>
          <a:off x="11258550" y="3267075"/>
          <a:ext cx="238125" cy="238125"/>
          <a:chOff x="3138" y="2808"/>
          <a:chExt cx="198" cy="198"/>
        </a:xfrm>
        <a:solidFill>
          <a:srgbClr val="FFFFFF"/>
        </a:solidFill>
      </xdr:grpSpPr>
      <xdr:sp>
        <xdr:nvSpPr>
          <xdr:cNvPr id="9" name="Oval 174"/>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75"/>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76"/>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16</xdr:col>
      <xdr:colOff>561975</xdr:colOff>
      <xdr:row>7</xdr:row>
      <xdr:rowOff>714375</xdr:rowOff>
    </xdr:from>
    <xdr:to>
      <xdr:col>17</xdr:col>
      <xdr:colOff>190500</xdr:colOff>
      <xdr:row>7</xdr:row>
      <xdr:rowOff>952500</xdr:rowOff>
    </xdr:to>
    <xdr:grpSp>
      <xdr:nvGrpSpPr>
        <xdr:cNvPr id="12" name="Group 177"/>
        <xdr:cNvGrpSpPr>
          <a:grpSpLocks/>
        </xdr:cNvGrpSpPr>
      </xdr:nvGrpSpPr>
      <xdr:grpSpPr>
        <a:xfrm>
          <a:off x="12077700" y="3267075"/>
          <a:ext cx="238125" cy="238125"/>
          <a:chOff x="3138" y="2808"/>
          <a:chExt cx="198" cy="198"/>
        </a:xfrm>
        <a:solidFill>
          <a:srgbClr val="FFFFFF"/>
        </a:solidFill>
      </xdr:grpSpPr>
      <xdr:sp>
        <xdr:nvSpPr>
          <xdr:cNvPr id="13" name="Oval 178"/>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Line 179"/>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Line 180"/>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514350</xdr:colOff>
      <xdr:row>7</xdr:row>
      <xdr:rowOff>638175</xdr:rowOff>
    </xdr:from>
    <xdr:to>
      <xdr:col>22</xdr:col>
      <xdr:colOff>38100</xdr:colOff>
      <xdr:row>7</xdr:row>
      <xdr:rowOff>638175</xdr:rowOff>
    </xdr:to>
    <xdr:sp>
      <xdr:nvSpPr>
        <xdr:cNvPr id="16" name="Line 181"/>
        <xdr:cNvSpPr>
          <a:spLocks/>
        </xdr:cNvSpPr>
      </xdr:nvSpPr>
      <xdr:spPr>
        <a:xfrm>
          <a:off x="12639675" y="3190875"/>
          <a:ext cx="2571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514350</xdr:colOff>
      <xdr:row>7</xdr:row>
      <xdr:rowOff>304800</xdr:rowOff>
    </xdr:from>
    <xdr:to>
      <xdr:col>16</xdr:col>
      <xdr:colOff>514350</xdr:colOff>
      <xdr:row>7</xdr:row>
      <xdr:rowOff>552450</xdr:rowOff>
    </xdr:to>
    <xdr:sp>
      <xdr:nvSpPr>
        <xdr:cNvPr id="17" name="Line 182"/>
        <xdr:cNvSpPr>
          <a:spLocks/>
        </xdr:cNvSpPr>
      </xdr:nvSpPr>
      <xdr:spPr>
        <a:xfrm>
          <a:off x="12030075" y="2857500"/>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457200</xdr:colOff>
      <xdr:row>7</xdr:row>
      <xdr:rowOff>971550</xdr:rowOff>
    </xdr:from>
    <xdr:to>
      <xdr:col>15</xdr:col>
      <xdr:colOff>457200</xdr:colOff>
      <xdr:row>8</xdr:row>
      <xdr:rowOff>47625</xdr:rowOff>
    </xdr:to>
    <xdr:sp>
      <xdr:nvSpPr>
        <xdr:cNvPr id="18" name="Line 183"/>
        <xdr:cNvSpPr>
          <a:spLocks/>
        </xdr:cNvSpPr>
      </xdr:nvSpPr>
      <xdr:spPr>
        <a:xfrm flipV="1">
          <a:off x="11363325" y="3524250"/>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66675</xdr:colOff>
      <xdr:row>7</xdr:row>
      <xdr:rowOff>971550</xdr:rowOff>
    </xdr:from>
    <xdr:to>
      <xdr:col>17</xdr:col>
      <xdr:colOff>66675</xdr:colOff>
      <xdr:row>8</xdr:row>
      <xdr:rowOff>47625</xdr:rowOff>
    </xdr:to>
    <xdr:sp>
      <xdr:nvSpPr>
        <xdr:cNvPr id="19" name="Line 184"/>
        <xdr:cNvSpPr>
          <a:spLocks/>
        </xdr:cNvSpPr>
      </xdr:nvSpPr>
      <xdr:spPr>
        <a:xfrm flipV="1">
          <a:off x="12192000" y="3524250"/>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600075</xdr:colOff>
      <xdr:row>7</xdr:row>
      <xdr:rowOff>114300</xdr:rowOff>
    </xdr:from>
    <xdr:to>
      <xdr:col>17</xdr:col>
      <xdr:colOff>257175</xdr:colOff>
      <xdr:row>7</xdr:row>
      <xdr:rowOff>514350</xdr:rowOff>
    </xdr:to>
    <xdr:sp>
      <xdr:nvSpPr>
        <xdr:cNvPr id="20" name="Text Box 185"/>
        <xdr:cNvSpPr txBox="1">
          <a:spLocks noChangeArrowheads="1"/>
        </xdr:cNvSpPr>
      </xdr:nvSpPr>
      <xdr:spPr>
        <a:xfrm>
          <a:off x="12115800" y="2667000"/>
          <a:ext cx="266700" cy="400050"/>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18</xdr:col>
      <xdr:colOff>514350</xdr:colOff>
      <xdr:row>7</xdr:row>
      <xdr:rowOff>219075</xdr:rowOff>
    </xdr:from>
    <xdr:to>
      <xdr:col>19</xdr:col>
      <xdr:colOff>304800</xdr:colOff>
      <xdr:row>7</xdr:row>
      <xdr:rowOff>619125</xdr:rowOff>
    </xdr:to>
    <xdr:sp>
      <xdr:nvSpPr>
        <xdr:cNvPr id="21" name="Text Box 186"/>
        <xdr:cNvSpPr txBox="1">
          <a:spLocks noChangeArrowheads="1"/>
        </xdr:cNvSpPr>
      </xdr:nvSpPr>
      <xdr:spPr>
        <a:xfrm>
          <a:off x="13249275" y="2771775"/>
          <a:ext cx="400050" cy="400050"/>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20</xdr:col>
      <xdr:colOff>409575</xdr:colOff>
      <xdr:row>7</xdr:row>
      <xdr:rowOff>971550</xdr:rowOff>
    </xdr:from>
    <xdr:to>
      <xdr:col>20</xdr:col>
      <xdr:colOff>409575</xdr:colOff>
      <xdr:row>8</xdr:row>
      <xdr:rowOff>47625</xdr:rowOff>
    </xdr:to>
    <xdr:sp>
      <xdr:nvSpPr>
        <xdr:cNvPr id="22" name="Line 187"/>
        <xdr:cNvSpPr>
          <a:spLocks/>
        </xdr:cNvSpPr>
      </xdr:nvSpPr>
      <xdr:spPr>
        <a:xfrm flipV="1">
          <a:off x="14363700" y="3524250"/>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285750</xdr:colOff>
      <xdr:row>7</xdr:row>
      <xdr:rowOff>723900</xdr:rowOff>
    </xdr:from>
    <xdr:to>
      <xdr:col>20</xdr:col>
      <xdr:colOff>533400</xdr:colOff>
      <xdr:row>7</xdr:row>
      <xdr:rowOff>952500</xdr:rowOff>
    </xdr:to>
    <xdr:grpSp>
      <xdr:nvGrpSpPr>
        <xdr:cNvPr id="23" name="Group 189"/>
        <xdr:cNvGrpSpPr>
          <a:grpSpLocks/>
        </xdr:cNvGrpSpPr>
      </xdr:nvGrpSpPr>
      <xdr:grpSpPr>
        <a:xfrm>
          <a:off x="14239875" y="3276600"/>
          <a:ext cx="247650" cy="228600"/>
          <a:chOff x="3138" y="2808"/>
          <a:chExt cx="198" cy="198"/>
        </a:xfrm>
        <a:solidFill>
          <a:srgbClr val="FFFFFF"/>
        </a:solidFill>
      </xdr:grpSpPr>
      <xdr:sp>
        <xdr:nvSpPr>
          <xdr:cNvPr id="24" name="Oval 190"/>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Line 191"/>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Line 192"/>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21</xdr:col>
      <xdr:colOff>19050</xdr:colOff>
      <xdr:row>7</xdr:row>
      <xdr:rowOff>723900</xdr:rowOff>
    </xdr:from>
    <xdr:to>
      <xdr:col>21</xdr:col>
      <xdr:colOff>257175</xdr:colOff>
      <xdr:row>7</xdr:row>
      <xdr:rowOff>952500</xdr:rowOff>
    </xdr:to>
    <xdr:grpSp>
      <xdr:nvGrpSpPr>
        <xdr:cNvPr id="27" name="Group 193"/>
        <xdr:cNvGrpSpPr>
          <a:grpSpLocks/>
        </xdr:cNvGrpSpPr>
      </xdr:nvGrpSpPr>
      <xdr:grpSpPr>
        <a:xfrm>
          <a:off x="14582775" y="3276600"/>
          <a:ext cx="238125" cy="228600"/>
          <a:chOff x="3138" y="2808"/>
          <a:chExt cx="198" cy="198"/>
        </a:xfrm>
        <a:solidFill>
          <a:srgbClr val="FFFFFF"/>
        </a:solidFill>
      </xdr:grpSpPr>
      <xdr:sp>
        <xdr:nvSpPr>
          <xdr:cNvPr id="28" name="Oval 194"/>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Line 195"/>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Line 196"/>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19</xdr:col>
      <xdr:colOff>571500</xdr:colOff>
      <xdr:row>7</xdr:row>
      <xdr:rowOff>723900</xdr:rowOff>
    </xdr:from>
    <xdr:to>
      <xdr:col>20</xdr:col>
      <xdr:colOff>200025</xdr:colOff>
      <xdr:row>7</xdr:row>
      <xdr:rowOff>952500</xdr:rowOff>
    </xdr:to>
    <xdr:grpSp>
      <xdr:nvGrpSpPr>
        <xdr:cNvPr id="31" name="Group 197"/>
        <xdr:cNvGrpSpPr>
          <a:grpSpLocks/>
        </xdr:cNvGrpSpPr>
      </xdr:nvGrpSpPr>
      <xdr:grpSpPr>
        <a:xfrm>
          <a:off x="13916025" y="3276600"/>
          <a:ext cx="238125" cy="228600"/>
          <a:chOff x="3138" y="2808"/>
          <a:chExt cx="198" cy="198"/>
        </a:xfrm>
        <a:solidFill>
          <a:srgbClr val="FFFFFF"/>
        </a:solidFill>
      </xdr:grpSpPr>
      <xdr:sp>
        <xdr:nvSpPr>
          <xdr:cNvPr id="32" name="Oval 198"/>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Line 199"/>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Line 200"/>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9525</xdr:colOff>
      <xdr:row>7</xdr:row>
      <xdr:rowOff>762000</xdr:rowOff>
    </xdr:from>
    <xdr:to>
      <xdr:col>17</xdr:col>
      <xdr:colOff>133350</xdr:colOff>
      <xdr:row>7</xdr:row>
      <xdr:rowOff>895350</xdr:rowOff>
    </xdr:to>
    <xdr:sp>
      <xdr:nvSpPr>
        <xdr:cNvPr id="35" name="Oval 201"/>
        <xdr:cNvSpPr>
          <a:spLocks/>
        </xdr:cNvSpPr>
      </xdr:nvSpPr>
      <xdr:spPr>
        <a:xfrm>
          <a:off x="12134850" y="3314700"/>
          <a:ext cx="123825" cy="133350"/>
        </a:xfrm>
        <a:prstGeom prst="ellipse">
          <a:avLst/>
        </a:prstGeom>
        <a:solidFill>
          <a:srgbClr val="000000"/>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323850</xdr:colOff>
      <xdr:row>8</xdr:row>
      <xdr:rowOff>209550</xdr:rowOff>
    </xdr:from>
    <xdr:to>
      <xdr:col>19</xdr:col>
      <xdr:colOff>47625</xdr:colOff>
      <xdr:row>8</xdr:row>
      <xdr:rowOff>419100</xdr:rowOff>
    </xdr:to>
    <xdr:sp>
      <xdr:nvSpPr>
        <xdr:cNvPr id="36" name="Text Box 202"/>
        <xdr:cNvSpPr txBox="1">
          <a:spLocks noChangeArrowheads="1"/>
        </xdr:cNvSpPr>
      </xdr:nvSpPr>
      <xdr:spPr>
        <a:xfrm>
          <a:off x="13058775" y="3933825"/>
          <a:ext cx="333375" cy="209550"/>
        </a:xfrm>
        <a:prstGeom prst="rect">
          <a:avLst/>
        </a:prstGeom>
        <a:noFill/>
        <a:ln w="9525" cmpd="sng">
          <a:noFill/>
        </a:ln>
      </xdr:spPr>
      <xdr:txBody>
        <a:bodyPr vertOverflow="clip" wrap="square" lIns="18000" tIns="10800" rIns="18000" bIns="10800"/>
        <a:p>
          <a:pPr algn="l">
            <a:defRPr/>
          </a:pPr>
          <a:r>
            <a:rPr lang="en-US" cap="none" sz="1200" b="1" i="0" u="none" baseline="0">
              <a:solidFill>
                <a:srgbClr val="FF0000"/>
              </a:solidFill>
            </a:rPr>
            <a:t>WB
</a:t>
          </a:r>
        </a:p>
      </xdr:txBody>
    </xdr:sp>
    <xdr:clientData/>
  </xdr:twoCellAnchor>
  <xdr:twoCellAnchor>
    <xdr:from>
      <xdr:col>16</xdr:col>
      <xdr:colOff>542925</xdr:colOff>
      <xdr:row>9</xdr:row>
      <xdr:rowOff>9525</xdr:rowOff>
    </xdr:from>
    <xdr:to>
      <xdr:col>20</xdr:col>
      <xdr:colOff>371475</xdr:colOff>
      <xdr:row>9</xdr:row>
      <xdr:rowOff>9525</xdr:rowOff>
    </xdr:to>
    <xdr:sp>
      <xdr:nvSpPr>
        <xdr:cNvPr id="37" name="Line 205"/>
        <xdr:cNvSpPr>
          <a:spLocks/>
        </xdr:cNvSpPr>
      </xdr:nvSpPr>
      <xdr:spPr>
        <a:xfrm>
          <a:off x="12058650" y="4181475"/>
          <a:ext cx="2266950"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76200</xdr:colOff>
      <xdr:row>7</xdr:row>
      <xdr:rowOff>981075</xdr:rowOff>
    </xdr:from>
    <xdr:to>
      <xdr:col>20</xdr:col>
      <xdr:colOff>76200</xdr:colOff>
      <xdr:row>8</xdr:row>
      <xdr:rowOff>209550</xdr:rowOff>
    </xdr:to>
    <xdr:sp>
      <xdr:nvSpPr>
        <xdr:cNvPr id="38" name="Line 206"/>
        <xdr:cNvSpPr>
          <a:spLocks/>
        </xdr:cNvSpPr>
      </xdr:nvSpPr>
      <xdr:spPr>
        <a:xfrm flipH="1">
          <a:off x="14030325" y="3533775"/>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133350</xdr:colOff>
      <xdr:row>7</xdr:row>
      <xdr:rowOff>981075</xdr:rowOff>
    </xdr:from>
    <xdr:to>
      <xdr:col>21</xdr:col>
      <xdr:colOff>133350</xdr:colOff>
      <xdr:row>8</xdr:row>
      <xdr:rowOff>209550</xdr:rowOff>
    </xdr:to>
    <xdr:sp>
      <xdr:nvSpPr>
        <xdr:cNvPr id="39" name="Line 207"/>
        <xdr:cNvSpPr>
          <a:spLocks/>
        </xdr:cNvSpPr>
      </xdr:nvSpPr>
      <xdr:spPr>
        <a:xfrm>
          <a:off x="14697075" y="3533775"/>
          <a:ext cx="0" cy="400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114300</xdr:colOff>
      <xdr:row>8</xdr:row>
      <xdr:rowOff>123825</xdr:rowOff>
    </xdr:from>
    <xdr:to>
      <xdr:col>20</xdr:col>
      <xdr:colOff>400050</xdr:colOff>
      <xdr:row>8</xdr:row>
      <xdr:rowOff>123825</xdr:rowOff>
    </xdr:to>
    <xdr:sp>
      <xdr:nvSpPr>
        <xdr:cNvPr id="40" name="Line 208"/>
        <xdr:cNvSpPr>
          <a:spLocks/>
        </xdr:cNvSpPr>
      </xdr:nvSpPr>
      <xdr:spPr>
        <a:xfrm>
          <a:off x="14068425" y="3848100"/>
          <a:ext cx="2857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447675</xdr:colOff>
      <xdr:row>8</xdr:row>
      <xdr:rowOff>123825</xdr:rowOff>
    </xdr:from>
    <xdr:to>
      <xdr:col>21</xdr:col>
      <xdr:colOff>123825</xdr:colOff>
      <xdr:row>8</xdr:row>
      <xdr:rowOff>123825</xdr:rowOff>
    </xdr:to>
    <xdr:sp>
      <xdr:nvSpPr>
        <xdr:cNvPr id="41" name="Line 209"/>
        <xdr:cNvSpPr>
          <a:spLocks/>
        </xdr:cNvSpPr>
      </xdr:nvSpPr>
      <xdr:spPr>
        <a:xfrm>
          <a:off x="14401800" y="3848100"/>
          <a:ext cx="2857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161925</xdr:colOff>
      <xdr:row>7</xdr:row>
      <xdr:rowOff>1038225</xdr:rowOff>
    </xdr:from>
    <xdr:to>
      <xdr:col>20</xdr:col>
      <xdr:colOff>333375</xdr:colOff>
      <xdr:row>8</xdr:row>
      <xdr:rowOff>133350</xdr:rowOff>
    </xdr:to>
    <xdr:sp>
      <xdr:nvSpPr>
        <xdr:cNvPr id="42" name="Text Box 210"/>
        <xdr:cNvSpPr txBox="1">
          <a:spLocks noChangeArrowheads="1"/>
        </xdr:cNvSpPr>
      </xdr:nvSpPr>
      <xdr:spPr>
        <a:xfrm>
          <a:off x="14116050" y="3590925"/>
          <a:ext cx="171450" cy="266700"/>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
</a:t>
          </a:r>
        </a:p>
      </xdr:txBody>
    </xdr:sp>
    <xdr:clientData/>
  </xdr:twoCellAnchor>
  <xdr:twoCellAnchor>
    <xdr:from>
      <xdr:col>20</xdr:col>
      <xdr:colOff>485775</xdr:colOff>
      <xdr:row>7</xdr:row>
      <xdr:rowOff>1057275</xdr:rowOff>
    </xdr:from>
    <xdr:to>
      <xdr:col>21</xdr:col>
      <xdr:colOff>47625</xdr:colOff>
      <xdr:row>8</xdr:row>
      <xdr:rowOff>133350</xdr:rowOff>
    </xdr:to>
    <xdr:sp>
      <xdr:nvSpPr>
        <xdr:cNvPr id="43" name="Text Box 211"/>
        <xdr:cNvSpPr txBox="1">
          <a:spLocks noChangeArrowheads="1"/>
        </xdr:cNvSpPr>
      </xdr:nvSpPr>
      <xdr:spPr>
        <a:xfrm>
          <a:off x="14439900" y="3609975"/>
          <a:ext cx="171450" cy="247650"/>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
</a:t>
          </a:r>
        </a:p>
      </xdr:txBody>
    </xdr:sp>
    <xdr:clientData/>
  </xdr:twoCellAnchor>
  <xdr:twoCellAnchor>
    <xdr:from>
      <xdr:col>20</xdr:col>
      <xdr:colOff>419100</xdr:colOff>
      <xdr:row>8</xdr:row>
      <xdr:rowOff>133350</xdr:rowOff>
    </xdr:from>
    <xdr:to>
      <xdr:col>20</xdr:col>
      <xdr:colOff>419100</xdr:colOff>
      <xdr:row>9</xdr:row>
      <xdr:rowOff>95250</xdr:rowOff>
    </xdr:to>
    <xdr:sp>
      <xdr:nvSpPr>
        <xdr:cNvPr id="44" name="Straight Connector 1115"/>
        <xdr:cNvSpPr>
          <a:spLocks/>
        </xdr:cNvSpPr>
      </xdr:nvSpPr>
      <xdr:spPr>
        <a:xfrm rot="5400000">
          <a:off x="14373225" y="3857625"/>
          <a:ext cx="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171450</xdr:colOff>
      <xdr:row>7</xdr:row>
      <xdr:rowOff>561975</xdr:rowOff>
    </xdr:from>
    <xdr:to>
      <xdr:col>16</xdr:col>
      <xdr:colOff>171450</xdr:colOff>
      <xdr:row>9</xdr:row>
      <xdr:rowOff>95250</xdr:rowOff>
    </xdr:to>
    <xdr:sp>
      <xdr:nvSpPr>
        <xdr:cNvPr id="45" name="Straight Connector 1117"/>
        <xdr:cNvSpPr>
          <a:spLocks/>
        </xdr:cNvSpPr>
      </xdr:nvSpPr>
      <xdr:spPr>
        <a:xfrm rot="5400000">
          <a:off x="11687175" y="3114675"/>
          <a:ext cx="0"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180975</xdr:colOff>
      <xdr:row>9</xdr:row>
      <xdr:rowOff>0</xdr:rowOff>
    </xdr:from>
    <xdr:to>
      <xdr:col>16</xdr:col>
      <xdr:colOff>476250</xdr:colOff>
      <xdr:row>9</xdr:row>
      <xdr:rowOff>0</xdr:rowOff>
    </xdr:to>
    <xdr:sp>
      <xdr:nvSpPr>
        <xdr:cNvPr id="46" name="Line 208"/>
        <xdr:cNvSpPr>
          <a:spLocks/>
        </xdr:cNvSpPr>
      </xdr:nvSpPr>
      <xdr:spPr>
        <a:xfrm>
          <a:off x="11696700" y="4171950"/>
          <a:ext cx="2952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190500</xdr:colOff>
      <xdr:row>8</xdr:row>
      <xdr:rowOff>247650</xdr:rowOff>
    </xdr:from>
    <xdr:to>
      <xdr:col>16</xdr:col>
      <xdr:colOff>495300</xdr:colOff>
      <xdr:row>8</xdr:row>
      <xdr:rowOff>428625</xdr:rowOff>
    </xdr:to>
    <xdr:sp>
      <xdr:nvSpPr>
        <xdr:cNvPr id="47" name="Text Box 210"/>
        <xdr:cNvSpPr txBox="1">
          <a:spLocks noChangeArrowheads="1"/>
        </xdr:cNvSpPr>
      </xdr:nvSpPr>
      <xdr:spPr>
        <a:xfrm>
          <a:off x="11706225" y="3971925"/>
          <a:ext cx="304800" cy="180975"/>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FOH
</a:t>
          </a:r>
        </a:p>
      </xdr:txBody>
    </xdr:sp>
    <xdr:clientData/>
  </xdr:twoCellAnchor>
  <xdr:twoCellAnchor>
    <xdr:from>
      <xdr:col>22</xdr:col>
      <xdr:colOff>28575</xdr:colOff>
      <xdr:row>7</xdr:row>
      <xdr:rowOff>838200</xdr:rowOff>
    </xdr:from>
    <xdr:to>
      <xdr:col>22</xdr:col>
      <xdr:colOff>38100</xdr:colOff>
      <xdr:row>9</xdr:row>
      <xdr:rowOff>114300</xdr:rowOff>
    </xdr:to>
    <xdr:sp>
      <xdr:nvSpPr>
        <xdr:cNvPr id="48" name="Straight Connector 1121"/>
        <xdr:cNvSpPr>
          <a:spLocks/>
        </xdr:cNvSpPr>
      </xdr:nvSpPr>
      <xdr:spPr>
        <a:xfrm rot="16200000" flipH="1">
          <a:off x="15201900" y="3390900"/>
          <a:ext cx="9525"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66675</xdr:colOff>
      <xdr:row>8</xdr:row>
      <xdr:rowOff>285750</xdr:rowOff>
    </xdr:from>
    <xdr:to>
      <xdr:col>21</xdr:col>
      <xdr:colOff>457200</xdr:colOff>
      <xdr:row>9</xdr:row>
      <xdr:rowOff>9525</xdr:rowOff>
    </xdr:to>
    <xdr:sp>
      <xdr:nvSpPr>
        <xdr:cNvPr id="49" name="Text Box 210"/>
        <xdr:cNvSpPr txBox="1">
          <a:spLocks noChangeArrowheads="1"/>
        </xdr:cNvSpPr>
      </xdr:nvSpPr>
      <xdr:spPr>
        <a:xfrm>
          <a:off x="14630400" y="4010025"/>
          <a:ext cx="390525" cy="171450"/>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ROH
</a:t>
          </a:r>
        </a:p>
      </xdr:txBody>
    </xdr:sp>
    <xdr:clientData/>
  </xdr:twoCellAnchor>
  <xdr:twoCellAnchor>
    <xdr:from>
      <xdr:col>20</xdr:col>
      <xdr:colOff>428625</xdr:colOff>
      <xdr:row>9</xdr:row>
      <xdr:rowOff>19050</xdr:rowOff>
    </xdr:from>
    <xdr:to>
      <xdr:col>22</xdr:col>
      <xdr:colOff>19050</xdr:colOff>
      <xdr:row>9</xdr:row>
      <xdr:rowOff>19050</xdr:rowOff>
    </xdr:to>
    <xdr:sp>
      <xdr:nvSpPr>
        <xdr:cNvPr id="50" name="Straight Arrow Connector 1126"/>
        <xdr:cNvSpPr>
          <a:spLocks/>
        </xdr:cNvSpPr>
      </xdr:nvSpPr>
      <xdr:spPr>
        <a:xfrm>
          <a:off x="14382750" y="4191000"/>
          <a:ext cx="809625"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504825</xdr:colOff>
      <xdr:row>7</xdr:row>
      <xdr:rowOff>571500</xdr:rowOff>
    </xdr:from>
    <xdr:to>
      <xdr:col>16</xdr:col>
      <xdr:colOff>514350</xdr:colOff>
      <xdr:row>9</xdr:row>
      <xdr:rowOff>104775</xdr:rowOff>
    </xdr:to>
    <xdr:sp>
      <xdr:nvSpPr>
        <xdr:cNvPr id="51" name="Straight Connector 1130"/>
        <xdr:cNvSpPr>
          <a:spLocks/>
        </xdr:cNvSpPr>
      </xdr:nvSpPr>
      <xdr:spPr>
        <a:xfrm rot="5400000">
          <a:off x="12020550" y="3124200"/>
          <a:ext cx="9525"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200025</xdr:colOff>
      <xdr:row>12</xdr:row>
      <xdr:rowOff>238125</xdr:rowOff>
    </xdr:from>
    <xdr:to>
      <xdr:col>22</xdr:col>
      <xdr:colOff>381000</xdr:colOff>
      <xdr:row>21</xdr:row>
      <xdr:rowOff>76200</xdr:rowOff>
    </xdr:to>
    <xdr:grpSp>
      <xdr:nvGrpSpPr>
        <xdr:cNvPr id="52" name="Group 1198"/>
        <xdr:cNvGrpSpPr>
          <a:grpSpLocks/>
        </xdr:cNvGrpSpPr>
      </xdr:nvGrpSpPr>
      <xdr:grpSpPr>
        <a:xfrm>
          <a:off x="11106150" y="5219700"/>
          <a:ext cx="4448175" cy="2733675"/>
          <a:chOff x="10314456" y="5442141"/>
          <a:chExt cx="4445931" cy="2214283"/>
        </a:xfrm>
        <a:solidFill>
          <a:srgbClr val="FFFFFF"/>
        </a:solidFill>
      </xdr:grpSpPr>
      <xdr:grpSp>
        <xdr:nvGrpSpPr>
          <xdr:cNvPr id="53" name="Group 29"/>
          <xdr:cNvGrpSpPr>
            <a:grpSpLocks/>
          </xdr:cNvGrpSpPr>
        </xdr:nvGrpSpPr>
        <xdr:grpSpPr>
          <a:xfrm>
            <a:off x="11252547" y="6115837"/>
            <a:ext cx="2878740" cy="586785"/>
            <a:chOff x="5443" y="3039"/>
            <a:chExt cx="1660" cy="742"/>
          </a:xfrm>
          <a:solidFill>
            <a:srgbClr val="FFFFFF"/>
          </a:solidFill>
        </xdr:grpSpPr>
        <xdr:sp>
          <xdr:nvSpPr>
            <xdr:cNvPr id="54" name="Rectangle 30"/>
            <xdr:cNvSpPr>
              <a:spLocks/>
            </xdr:cNvSpPr>
          </xdr:nvSpPr>
          <xdr:spPr>
            <a:xfrm>
              <a:off x="5443" y="3039"/>
              <a:ext cx="1660" cy="742"/>
            </a:xfrm>
            <a:prstGeom prst="rect">
              <a:avLst/>
            </a:prstGeom>
            <a:solidFill>
              <a:srgbClr val="FFFFFF"/>
            </a:solid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31"/>
            <xdr:cNvSpPr>
              <a:spLocks/>
            </xdr:cNvSpPr>
          </xdr:nvSpPr>
          <xdr:spPr>
            <a:xfrm>
              <a:off x="5443" y="3039"/>
              <a:ext cx="1660" cy="742"/>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32"/>
            <xdr:cNvSpPr>
              <a:spLocks/>
            </xdr:cNvSpPr>
          </xdr:nvSpPr>
          <xdr:spPr>
            <a:xfrm flipV="1">
              <a:off x="5443" y="3039"/>
              <a:ext cx="1660" cy="742"/>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57" name="AutoShape 33"/>
          <xdr:cNvSpPr>
            <a:spLocks/>
          </xdr:cNvSpPr>
        </xdr:nvSpPr>
        <xdr:spPr>
          <a:xfrm>
            <a:off x="13431054" y="5827980"/>
            <a:ext cx="5557" cy="116582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34"/>
          <xdr:cNvSpPr>
            <a:spLocks/>
          </xdr:cNvSpPr>
        </xdr:nvSpPr>
        <xdr:spPr>
          <a:xfrm>
            <a:off x="12680803" y="5563927"/>
            <a:ext cx="5557" cy="850838"/>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35"/>
          <xdr:cNvSpPr>
            <a:spLocks/>
          </xdr:cNvSpPr>
        </xdr:nvSpPr>
        <xdr:spPr>
          <a:xfrm>
            <a:off x="12686360" y="5933712"/>
            <a:ext cx="744693"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Line 36"/>
          <xdr:cNvSpPr>
            <a:spLocks/>
          </xdr:cNvSpPr>
        </xdr:nvSpPr>
        <xdr:spPr>
          <a:xfrm>
            <a:off x="11968342" y="7214675"/>
            <a:ext cx="2579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Rectangle 37"/>
          <xdr:cNvSpPr>
            <a:spLocks/>
          </xdr:cNvSpPr>
        </xdr:nvSpPr>
        <xdr:spPr>
          <a:xfrm>
            <a:off x="11109166" y="6949514"/>
            <a:ext cx="705792" cy="151125"/>
          </a:xfrm>
          <a:prstGeom prst="rect">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Text Box 38"/>
          <xdr:cNvSpPr txBox="1">
            <a:spLocks noChangeArrowheads="1"/>
          </xdr:cNvSpPr>
        </xdr:nvSpPr>
        <xdr:spPr>
          <a:xfrm>
            <a:off x="10885758" y="6607407"/>
            <a:ext cx="218962" cy="370339"/>
          </a:xfrm>
          <a:prstGeom prst="rect">
            <a:avLst/>
          </a:prstGeom>
          <a:noFill/>
          <a:ln w="9525" cmpd="sng">
            <a:noFill/>
          </a:ln>
        </xdr:spPr>
        <xdr:txBody>
          <a:bodyPr vertOverflow="clip" wrap="square" lIns="18000" tIns="10800" rIns="18000" bIns="10800"/>
          <a:p>
            <a:pPr algn="l">
              <a:defRPr/>
            </a:pPr>
            <a:r>
              <a:rPr lang="en-US" cap="none" sz="1100" b="0" i="0" u="none" baseline="0">
                <a:solidFill>
                  <a:srgbClr val="000000"/>
                </a:solidFill>
              </a:rPr>
              <a:t/>
            </a:r>
          </a:p>
        </xdr:txBody>
      </xdr:sp>
      <xdr:sp>
        <xdr:nvSpPr>
          <xdr:cNvPr id="63" name="Line 39"/>
          <xdr:cNvSpPr>
            <a:spLocks/>
          </xdr:cNvSpPr>
        </xdr:nvSpPr>
        <xdr:spPr>
          <a:xfrm>
            <a:off x="10789059" y="6981068"/>
            <a:ext cx="195621"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5" name="AutoShape 41"/>
          <xdr:cNvSpPr>
            <a:spLocks/>
          </xdr:cNvSpPr>
        </xdr:nvSpPr>
        <xdr:spPr>
          <a:xfrm>
            <a:off x="11470398" y="6860943"/>
            <a:ext cx="94476" cy="82482"/>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6" name="Oval 42"/>
          <xdr:cNvSpPr>
            <a:spLocks/>
          </xdr:cNvSpPr>
        </xdr:nvSpPr>
        <xdr:spPr>
          <a:xfrm>
            <a:off x="11488182" y="6836032"/>
            <a:ext cx="58909" cy="63107"/>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67" name="Group 43"/>
          <xdr:cNvGrpSpPr>
            <a:grpSpLocks/>
          </xdr:cNvGrpSpPr>
        </xdr:nvGrpSpPr>
        <xdr:grpSpPr>
          <a:xfrm>
            <a:off x="10889093" y="6993800"/>
            <a:ext cx="195621" cy="208143"/>
            <a:chOff x="3138" y="2808"/>
            <a:chExt cx="198" cy="198"/>
          </a:xfrm>
          <a:solidFill>
            <a:srgbClr val="FFFFFF"/>
          </a:solidFill>
        </xdr:grpSpPr>
        <xdr:sp>
          <xdr:nvSpPr>
            <xdr:cNvPr id="68" name="Oval 44"/>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9" name="Line 45"/>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Line 46"/>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71" name="Group 47"/>
          <xdr:cNvGrpSpPr>
            <a:grpSpLocks/>
          </xdr:cNvGrpSpPr>
        </xdr:nvGrpSpPr>
        <xdr:grpSpPr>
          <a:xfrm>
            <a:off x="11559317" y="6993800"/>
            <a:ext cx="195621" cy="208143"/>
            <a:chOff x="3138" y="2808"/>
            <a:chExt cx="198" cy="198"/>
          </a:xfrm>
          <a:solidFill>
            <a:srgbClr val="FFFFFF"/>
          </a:solidFill>
        </xdr:grpSpPr>
        <xdr:sp>
          <xdr:nvSpPr>
            <xdr:cNvPr id="72" name="Oval 48"/>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Line 49"/>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4" name="Line 50"/>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5" name="Line 51"/>
          <xdr:cNvSpPr>
            <a:spLocks/>
          </xdr:cNvSpPr>
        </xdr:nvSpPr>
        <xdr:spPr>
          <a:xfrm>
            <a:off x="12027251" y="6924603"/>
            <a:ext cx="210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Line 52"/>
          <xdr:cNvSpPr>
            <a:spLocks/>
          </xdr:cNvSpPr>
        </xdr:nvSpPr>
        <xdr:spPr>
          <a:xfrm>
            <a:off x="11523749" y="6633425"/>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7" name="Line 53"/>
          <xdr:cNvSpPr>
            <a:spLocks/>
          </xdr:cNvSpPr>
        </xdr:nvSpPr>
        <xdr:spPr>
          <a:xfrm flipV="1">
            <a:off x="10979123" y="7220764"/>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Line 54"/>
          <xdr:cNvSpPr>
            <a:spLocks/>
          </xdr:cNvSpPr>
        </xdr:nvSpPr>
        <xdr:spPr>
          <a:xfrm flipV="1">
            <a:off x="11653793" y="7220764"/>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Text Box 55"/>
          <xdr:cNvSpPr txBox="1">
            <a:spLocks noChangeArrowheads="1"/>
          </xdr:cNvSpPr>
        </xdr:nvSpPr>
        <xdr:spPr>
          <a:xfrm>
            <a:off x="14046815" y="7378531"/>
            <a:ext cx="713572" cy="277893"/>
          </a:xfrm>
          <a:prstGeom prst="rect">
            <a:avLst/>
          </a:prstGeom>
          <a:noFill/>
          <a:ln w="9525" cmpd="sng">
            <a:noFill/>
          </a:ln>
        </xdr:spPr>
        <xdr:txBody>
          <a:bodyPr vertOverflow="clip" wrap="square" lIns="18000" tIns="10800" rIns="18000" bIns="10800"/>
          <a:p>
            <a:pPr algn="l">
              <a:defRPr/>
            </a:pPr>
            <a:r>
              <a:rPr lang="en-US" cap="none" sz="1100" b="0" i="0" u="none" baseline="0">
                <a:solidFill>
                  <a:srgbClr val="FF0000"/>
                </a:solidFill>
                <a:latin typeface="Calibri"/>
                <a:ea typeface="Calibri"/>
                <a:cs typeface="Calibri"/>
              </a:rPr>
              <a:t>Bàn cân</a:t>
            </a:r>
            <a:r>
              <a:rPr lang="en-US" cap="none" sz="1100" b="0" i="0" u="none" baseline="0">
                <a:solidFill>
                  <a:srgbClr val="FF0000"/>
                </a:solidFill>
                <a:latin typeface="Times New Roman"/>
                <a:ea typeface="Times New Roman"/>
                <a:cs typeface="Times New Roman"/>
              </a:rPr>
              <a:t>
</a:t>
            </a:r>
          </a:p>
        </xdr:txBody>
      </xdr:sp>
      <xdr:sp>
        <xdr:nvSpPr>
          <xdr:cNvPr id="80" name="Line 56"/>
          <xdr:cNvSpPr>
            <a:spLocks/>
          </xdr:cNvSpPr>
        </xdr:nvSpPr>
        <xdr:spPr>
          <a:xfrm flipV="1">
            <a:off x="13437723" y="7220764"/>
            <a:ext cx="0" cy="221428"/>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82" name="Group 58"/>
          <xdr:cNvGrpSpPr>
            <a:grpSpLocks/>
          </xdr:cNvGrpSpPr>
        </xdr:nvGrpSpPr>
        <xdr:grpSpPr>
          <a:xfrm>
            <a:off x="13343246" y="7000443"/>
            <a:ext cx="195621" cy="208143"/>
            <a:chOff x="3138" y="2808"/>
            <a:chExt cx="198" cy="198"/>
          </a:xfrm>
          <a:solidFill>
            <a:srgbClr val="FFFFFF"/>
          </a:solidFill>
        </xdr:grpSpPr>
        <xdr:sp>
          <xdr:nvSpPr>
            <xdr:cNvPr id="83" name="Oval 59"/>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4" name="Line 60"/>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5" name="Line 61"/>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86" name="Group 62"/>
          <xdr:cNvGrpSpPr>
            <a:grpSpLocks/>
          </xdr:cNvGrpSpPr>
        </xdr:nvGrpSpPr>
        <xdr:grpSpPr>
          <a:xfrm>
            <a:off x="13621117" y="7000443"/>
            <a:ext cx="195621" cy="208143"/>
            <a:chOff x="3138" y="2808"/>
            <a:chExt cx="198" cy="198"/>
          </a:xfrm>
          <a:solidFill>
            <a:srgbClr val="FFFFFF"/>
          </a:solidFill>
        </xdr:grpSpPr>
        <xdr:sp>
          <xdr:nvSpPr>
            <xdr:cNvPr id="87" name="Oval 63"/>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8" name="Line 64"/>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Line 65"/>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90" name="Group 66"/>
          <xdr:cNvGrpSpPr>
            <a:grpSpLocks/>
          </xdr:cNvGrpSpPr>
        </xdr:nvGrpSpPr>
        <xdr:grpSpPr>
          <a:xfrm>
            <a:off x="13069822" y="7000443"/>
            <a:ext cx="195621" cy="208143"/>
            <a:chOff x="3138" y="2808"/>
            <a:chExt cx="198" cy="198"/>
          </a:xfrm>
          <a:solidFill>
            <a:srgbClr val="FFFFFF"/>
          </a:solidFill>
        </xdr:grpSpPr>
        <xdr:sp>
          <xdr:nvSpPr>
            <xdr:cNvPr id="91" name="Oval 67"/>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2" name="Line 68"/>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3" name="Line 69"/>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94" name="Oval 70"/>
          <xdr:cNvSpPr>
            <a:spLocks/>
          </xdr:cNvSpPr>
        </xdr:nvSpPr>
        <xdr:spPr>
          <a:xfrm>
            <a:off x="11607110" y="7043621"/>
            <a:ext cx="101145" cy="107393"/>
          </a:xfrm>
          <a:prstGeom prst="ellipse">
            <a:avLst/>
          </a:prstGeom>
          <a:solidFill>
            <a:srgbClr val="000000"/>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5" name="Text Box 71"/>
          <xdr:cNvSpPr txBox="1">
            <a:spLocks noChangeArrowheads="1"/>
          </xdr:cNvSpPr>
        </xdr:nvSpPr>
        <xdr:spPr>
          <a:xfrm>
            <a:off x="13513303" y="7293835"/>
            <a:ext cx="256753" cy="223643"/>
          </a:xfrm>
          <a:prstGeom prst="rect">
            <a:avLst/>
          </a:prstGeom>
          <a:noFill/>
          <a:ln w="9525" cmpd="sng">
            <a:noFill/>
          </a:ln>
        </xdr:spPr>
        <xdr:txBody>
          <a:bodyPr vertOverflow="clip" wrap="square" lIns="18000" tIns="10800" rIns="18000" bIns="10800"/>
          <a:p>
            <a:pPr algn="l">
              <a:defRPr/>
            </a:pPr>
            <a:r>
              <a:rPr lang="en-US" cap="none" sz="1050" b="1" i="0" u="none" baseline="0">
                <a:solidFill>
                  <a:srgbClr val="FF0000"/>
                </a:solidFill>
                <a:latin typeface="Calibri"/>
                <a:ea typeface="Calibri"/>
                <a:cs typeface="Calibri"/>
              </a:rPr>
              <a:t>G2</a:t>
            </a:r>
            <a:r>
              <a:rPr lang="en-US" cap="none" sz="1050" b="1" i="0" u="none" baseline="0">
                <a:solidFill>
                  <a:srgbClr val="FF0000"/>
                </a:solidFill>
                <a:latin typeface="Times New Roman"/>
                <a:ea typeface="Times New Roman"/>
                <a:cs typeface="Times New Roman"/>
              </a:rPr>
              <a:t>
</a:t>
            </a:r>
          </a:p>
        </xdr:txBody>
      </xdr:sp>
      <xdr:sp>
        <xdr:nvSpPr>
          <xdr:cNvPr id="96" name="Line 72"/>
          <xdr:cNvSpPr>
            <a:spLocks/>
          </xdr:cNvSpPr>
        </xdr:nvSpPr>
        <xdr:spPr>
          <a:xfrm>
            <a:off x="10314456" y="7220764"/>
            <a:ext cx="1598312"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7" name="AutoShape 73"/>
          <xdr:cNvSpPr>
            <a:spLocks/>
          </xdr:cNvSpPr>
        </xdr:nvSpPr>
        <xdr:spPr>
          <a:xfrm>
            <a:off x="11968342" y="7220764"/>
            <a:ext cx="0" cy="7694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8" name="AutoShape 74"/>
          <xdr:cNvSpPr>
            <a:spLocks/>
          </xdr:cNvSpPr>
        </xdr:nvSpPr>
        <xdr:spPr>
          <a:xfrm>
            <a:off x="11968342" y="7297710"/>
            <a:ext cx="2579751"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9" name="AutoShape 75"/>
          <xdr:cNvSpPr>
            <a:spLocks/>
          </xdr:cNvSpPr>
        </xdr:nvSpPr>
        <xdr:spPr>
          <a:xfrm>
            <a:off x="14548094" y="7214675"/>
            <a:ext cx="0" cy="83036"/>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0" name="AutoShape 76"/>
          <xdr:cNvSpPr>
            <a:spLocks/>
          </xdr:cNvSpPr>
        </xdr:nvSpPr>
        <xdr:spPr>
          <a:xfrm flipH="1" flipV="1">
            <a:off x="13925663" y="7268371"/>
            <a:ext cx="117817" cy="20869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1" name="Text Box 77"/>
          <xdr:cNvSpPr txBox="1">
            <a:spLocks noChangeArrowheads="1"/>
          </xdr:cNvSpPr>
        </xdr:nvSpPr>
        <xdr:spPr>
          <a:xfrm>
            <a:off x="12904211" y="5720034"/>
            <a:ext cx="256753" cy="208143"/>
          </a:xfrm>
          <a:prstGeom prst="rect">
            <a:avLst/>
          </a:prstGeom>
          <a:noFill/>
          <a:ln w="9525" cmpd="sng">
            <a:noFill/>
          </a:ln>
        </xdr:spPr>
        <xdr:txBody>
          <a:bodyPr vertOverflow="clip" wrap="square" lIns="18000" tIns="10800" rIns="18000" bIns="10800"/>
          <a:p>
            <a:pPr algn="l">
              <a:defRPr/>
            </a:pPr>
            <a:r>
              <a:rPr lang="en-US" cap="none" sz="1000" b="1" i="0" u="none" baseline="0">
                <a:solidFill>
                  <a:srgbClr val="FF0000"/>
                </a:solidFill>
              </a:rPr>
              <a:t>OS
</a:t>
            </a:r>
          </a:p>
        </xdr:txBody>
      </xdr:sp>
      <xdr:sp>
        <xdr:nvSpPr>
          <xdr:cNvPr id="102" name="Text Box 78"/>
          <xdr:cNvSpPr txBox="1">
            <a:spLocks noChangeArrowheads="1"/>
          </xdr:cNvSpPr>
        </xdr:nvSpPr>
        <xdr:spPr>
          <a:xfrm>
            <a:off x="12504077" y="6445211"/>
            <a:ext cx="181172" cy="215893"/>
          </a:xfrm>
          <a:prstGeom prst="rect">
            <a:avLst/>
          </a:prstGeom>
          <a:noFill/>
          <a:ln w="9525" cmpd="sng">
            <a:noFill/>
          </a:ln>
        </xdr:spPr>
        <xdr:txBody>
          <a:bodyPr vertOverflow="clip" wrap="square" lIns="18000" tIns="10800" rIns="18000" bIns="10800"/>
          <a:p>
            <a:pPr algn="l">
              <a:defRPr/>
            </a:pPr>
            <a:r>
              <a:rPr lang="en-US" cap="none" sz="1000" b="1" i="0" u="none" baseline="0">
                <a:solidFill>
                  <a:srgbClr val="000000"/>
                </a:solidFill>
              </a:rPr>
              <a:t>Q
</a:t>
            </a:r>
          </a:p>
        </xdr:txBody>
      </xdr:sp>
      <xdr:sp>
        <xdr:nvSpPr>
          <xdr:cNvPr id="103" name="AutoShape 79"/>
          <xdr:cNvSpPr>
            <a:spLocks/>
          </xdr:cNvSpPr>
        </xdr:nvSpPr>
        <xdr:spPr>
          <a:xfrm>
            <a:off x="11251436" y="5529052"/>
            <a:ext cx="5557" cy="58678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4" name="AutoShape 80"/>
          <xdr:cNvSpPr>
            <a:spLocks/>
          </xdr:cNvSpPr>
        </xdr:nvSpPr>
        <xdr:spPr>
          <a:xfrm>
            <a:off x="14119061" y="5529052"/>
            <a:ext cx="5557" cy="58678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5" name="AutoShape 81"/>
          <xdr:cNvSpPr>
            <a:spLocks/>
          </xdr:cNvSpPr>
        </xdr:nvSpPr>
        <xdr:spPr>
          <a:xfrm>
            <a:off x="11245879" y="5654159"/>
            <a:ext cx="1434924"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6" name="AutoShape 82"/>
          <xdr:cNvSpPr>
            <a:spLocks/>
          </xdr:cNvSpPr>
        </xdr:nvSpPr>
        <xdr:spPr>
          <a:xfrm>
            <a:off x="12697475" y="5654159"/>
            <a:ext cx="1434924"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7" name="Text Box 83"/>
          <xdr:cNvSpPr txBox="1">
            <a:spLocks noChangeArrowheads="1"/>
          </xdr:cNvSpPr>
        </xdr:nvSpPr>
        <xdr:spPr>
          <a:xfrm>
            <a:off x="13342135" y="5442141"/>
            <a:ext cx="266756" cy="208143"/>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latin typeface="Calibri"/>
                <a:ea typeface="Calibri"/>
                <a:cs typeface="Calibri"/>
              </a:rPr>
              <a:t>L/2</a:t>
            </a:r>
            <a:r>
              <a:rPr lang="en-US" cap="none" sz="1000" b="0" i="0" u="none" baseline="0">
                <a:solidFill>
                  <a:srgbClr val="000000"/>
                </a:solidFill>
                <a:latin typeface="Times New Roman"/>
                <a:ea typeface="Times New Roman"/>
                <a:cs typeface="Times New Roman"/>
              </a:rPr>
              <a:t>
</a:t>
            </a:r>
          </a:p>
        </xdr:txBody>
      </xdr:sp>
      <xdr:sp>
        <xdr:nvSpPr>
          <xdr:cNvPr id="108" name="Text Box 84"/>
          <xdr:cNvSpPr txBox="1">
            <a:spLocks noChangeArrowheads="1"/>
          </xdr:cNvSpPr>
        </xdr:nvSpPr>
        <xdr:spPr>
          <a:xfrm>
            <a:off x="11857194" y="5442141"/>
            <a:ext cx="256753" cy="208143"/>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latin typeface="Calibri"/>
                <a:ea typeface="Calibri"/>
                <a:cs typeface="Calibri"/>
              </a:rPr>
              <a:t>L/2</a:t>
            </a:r>
            <a:r>
              <a:rPr lang="en-US" cap="none" sz="1000" b="0" i="0" u="none" baseline="0">
                <a:solidFill>
                  <a:srgbClr val="000000"/>
                </a:solidFill>
                <a:latin typeface="Times New Roman"/>
                <a:ea typeface="Times New Roman"/>
                <a:cs typeface="Times New Roman"/>
              </a:rPr>
              <a:t>
</a:t>
            </a:r>
          </a:p>
        </xdr:txBody>
      </xdr:sp>
    </xdr:grpSp>
    <xdr:clientData/>
  </xdr:twoCellAnchor>
  <xdr:twoCellAnchor>
    <xdr:from>
      <xdr:col>6</xdr:col>
      <xdr:colOff>809625</xdr:colOff>
      <xdr:row>13</xdr:row>
      <xdr:rowOff>47625</xdr:rowOff>
    </xdr:from>
    <xdr:to>
      <xdr:col>7</xdr:col>
      <xdr:colOff>104775</xdr:colOff>
      <xdr:row>13</xdr:row>
      <xdr:rowOff>228600</xdr:rowOff>
    </xdr:to>
    <xdr:sp>
      <xdr:nvSpPr>
        <xdr:cNvPr id="109" name="Right Arrow 161"/>
        <xdr:cNvSpPr>
          <a:spLocks/>
        </xdr:cNvSpPr>
      </xdr:nvSpPr>
      <xdr:spPr>
        <a:xfrm>
          <a:off x="5610225" y="5305425"/>
          <a:ext cx="180975" cy="180975"/>
        </a:xfrm>
        <a:prstGeom prst="rightArrow">
          <a:avLst>
            <a:gd name="adj" fmla="val 0"/>
          </a:avLst>
        </a:prstGeom>
        <a:solidFill>
          <a:srgbClr val="C0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657225</xdr:colOff>
      <xdr:row>19</xdr:row>
      <xdr:rowOff>47625</xdr:rowOff>
    </xdr:from>
    <xdr:to>
      <xdr:col>6</xdr:col>
      <xdr:colOff>838200</xdr:colOff>
      <xdr:row>19</xdr:row>
      <xdr:rowOff>228600</xdr:rowOff>
    </xdr:to>
    <xdr:sp>
      <xdr:nvSpPr>
        <xdr:cNvPr id="110" name="Right Arrow 162"/>
        <xdr:cNvSpPr>
          <a:spLocks/>
        </xdr:cNvSpPr>
      </xdr:nvSpPr>
      <xdr:spPr>
        <a:xfrm>
          <a:off x="5457825" y="7372350"/>
          <a:ext cx="180975" cy="180975"/>
        </a:xfrm>
        <a:prstGeom prst="rightArrow">
          <a:avLst>
            <a:gd name="adj" fmla="val 0"/>
          </a:avLst>
        </a:prstGeom>
        <a:solidFill>
          <a:srgbClr val="C00000"/>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438150</xdr:colOff>
      <xdr:row>5</xdr:row>
      <xdr:rowOff>323850</xdr:rowOff>
    </xdr:from>
    <xdr:to>
      <xdr:col>21</xdr:col>
      <xdr:colOff>523875</xdr:colOff>
      <xdr:row>5</xdr:row>
      <xdr:rowOff>323850</xdr:rowOff>
    </xdr:to>
    <xdr:sp>
      <xdr:nvSpPr>
        <xdr:cNvPr id="111" name="Line 123"/>
        <xdr:cNvSpPr>
          <a:spLocks/>
        </xdr:cNvSpPr>
      </xdr:nvSpPr>
      <xdr:spPr>
        <a:xfrm>
          <a:off x="11344275" y="1600200"/>
          <a:ext cx="3743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314325</xdr:colOff>
      <xdr:row>5</xdr:row>
      <xdr:rowOff>38100</xdr:rowOff>
    </xdr:from>
    <xdr:to>
      <xdr:col>17</xdr:col>
      <xdr:colOff>561975</xdr:colOff>
      <xdr:row>5</xdr:row>
      <xdr:rowOff>209550</xdr:rowOff>
    </xdr:to>
    <xdr:sp>
      <xdr:nvSpPr>
        <xdr:cNvPr id="112" name="Rectangle 124"/>
        <xdr:cNvSpPr>
          <a:spLocks/>
        </xdr:cNvSpPr>
      </xdr:nvSpPr>
      <xdr:spPr>
        <a:xfrm>
          <a:off x="11830050" y="1314450"/>
          <a:ext cx="857250" cy="171450"/>
        </a:xfrm>
        <a:prstGeom prst="rect">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47625</xdr:colOff>
      <xdr:row>3</xdr:row>
      <xdr:rowOff>95250</xdr:rowOff>
    </xdr:from>
    <xdr:to>
      <xdr:col>16</xdr:col>
      <xdr:colOff>314325</xdr:colOff>
      <xdr:row>5</xdr:row>
      <xdr:rowOff>66675</xdr:rowOff>
    </xdr:to>
    <xdr:sp>
      <xdr:nvSpPr>
        <xdr:cNvPr id="113" name="Text Box 125"/>
        <xdr:cNvSpPr txBox="1">
          <a:spLocks noChangeArrowheads="1"/>
        </xdr:cNvSpPr>
      </xdr:nvSpPr>
      <xdr:spPr>
        <a:xfrm>
          <a:off x="11563350" y="942975"/>
          <a:ext cx="266700" cy="400050"/>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15</xdr:col>
      <xdr:colOff>533400</xdr:colOff>
      <xdr:row>5</xdr:row>
      <xdr:rowOff>76200</xdr:rowOff>
    </xdr:from>
    <xdr:to>
      <xdr:col>16</xdr:col>
      <xdr:colOff>161925</xdr:colOff>
      <xdr:row>5</xdr:row>
      <xdr:rowOff>76200</xdr:rowOff>
    </xdr:to>
    <xdr:sp>
      <xdr:nvSpPr>
        <xdr:cNvPr id="114" name="Line 126"/>
        <xdr:cNvSpPr>
          <a:spLocks/>
        </xdr:cNvSpPr>
      </xdr:nvSpPr>
      <xdr:spPr>
        <a:xfrm>
          <a:off x="11439525" y="1352550"/>
          <a:ext cx="238125" cy="0"/>
        </a:xfrm>
        <a:prstGeom prst="lin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142875</xdr:colOff>
      <xdr:row>4</xdr:row>
      <xdr:rowOff>142875</xdr:rowOff>
    </xdr:from>
    <xdr:to>
      <xdr:col>17</xdr:col>
      <xdr:colOff>257175</xdr:colOff>
      <xdr:row>5</xdr:row>
      <xdr:rowOff>28575</xdr:rowOff>
    </xdr:to>
    <xdr:sp>
      <xdr:nvSpPr>
        <xdr:cNvPr id="115" name="AutoShape 128"/>
        <xdr:cNvSpPr>
          <a:spLocks/>
        </xdr:cNvSpPr>
      </xdr:nvSpPr>
      <xdr:spPr>
        <a:xfrm>
          <a:off x="12268200" y="1219200"/>
          <a:ext cx="114300" cy="85725"/>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161925</xdr:colOff>
      <xdr:row>4</xdr:row>
      <xdr:rowOff>114300</xdr:rowOff>
    </xdr:from>
    <xdr:to>
      <xdr:col>17</xdr:col>
      <xdr:colOff>238125</xdr:colOff>
      <xdr:row>4</xdr:row>
      <xdr:rowOff>180975</xdr:rowOff>
    </xdr:to>
    <xdr:sp>
      <xdr:nvSpPr>
        <xdr:cNvPr id="116" name="Oval 129"/>
        <xdr:cNvSpPr>
          <a:spLocks/>
        </xdr:cNvSpPr>
      </xdr:nvSpPr>
      <xdr:spPr>
        <a:xfrm>
          <a:off x="12287250" y="1190625"/>
          <a:ext cx="76200" cy="66675"/>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47625</xdr:colOff>
      <xdr:row>5</xdr:row>
      <xdr:rowOff>85725</xdr:rowOff>
    </xdr:from>
    <xdr:to>
      <xdr:col>16</xdr:col>
      <xdr:colOff>285750</xdr:colOff>
      <xdr:row>5</xdr:row>
      <xdr:rowOff>314325</xdr:rowOff>
    </xdr:to>
    <xdr:grpSp>
      <xdr:nvGrpSpPr>
        <xdr:cNvPr id="117" name="Group 130"/>
        <xdr:cNvGrpSpPr>
          <a:grpSpLocks/>
        </xdr:cNvGrpSpPr>
      </xdr:nvGrpSpPr>
      <xdr:grpSpPr>
        <a:xfrm>
          <a:off x="11563350" y="1362075"/>
          <a:ext cx="238125" cy="228600"/>
          <a:chOff x="3138" y="2808"/>
          <a:chExt cx="198" cy="198"/>
        </a:xfrm>
        <a:solidFill>
          <a:srgbClr val="FFFFFF"/>
        </a:solidFill>
      </xdr:grpSpPr>
      <xdr:sp>
        <xdr:nvSpPr>
          <xdr:cNvPr id="118" name="Oval 131"/>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9" name="Line 132"/>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0" name="Line 133"/>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17</xdr:col>
      <xdr:colOff>247650</xdr:colOff>
      <xdr:row>5</xdr:row>
      <xdr:rowOff>85725</xdr:rowOff>
    </xdr:from>
    <xdr:to>
      <xdr:col>17</xdr:col>
      <xdr:colOff>485775</xdr:colOff>
      <xdr:row>5</xdr:row>
      <xdr:rowOff>314325</xdr:rowOff>
    </xdr:to>
    <xdr:grpSp>
      <xdr:nvGrpSpPr>
        <xdr:cNvPr id="121" name="Group 134"/>
        <xdr:cNvGrpSpPr>
          <a:grpSpLocks/>
        </xdr:cNvGrpSpPr>
      </xdr:nvGrpSpPr>
      <xdr:grpSpPr>
        <a:xfrm>
          <a:off x="12372975" y="1362075"/>
          <a:ext cx="238125" cy="228600"/>
          <a:chOff x="3138" y="2808"/>
          <a:chExt cx="198" cy="198"/>
        </a:xfrm>
        <a:solidFill>
          <a:srgbClr val="FFFFFF"/>
        </a:solidFill>
      </xdr:grpSpPr>
      <xdr:sp>
        <xdr:nvSpPr>
          <xdr:cNvPr id="122" name="Oval 135"/>
          <xdr:cNvSpPr>
            <a:spLocks/>
          </xdr:cNvSpPr>
        </xdr:nvSpPr>
        <xdr:spPr>
          <a:xfrm>
            <a:off x="3138" y="2808"/>
            <a:ext cx="198" cy="198"/>
          </a:xfrm>
          <a:prstGeom prst="ellipse">
            <a:avLst/>
          </a:prstGeom>
          <a:solidFill>
            <a:srgbClr val="FFFFFF"/>
          </a:solid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3" name="Line 136"/>
          <xdr:cNvSpPr>
            <a:spLocks/>
          </xdr:cNvSpPr>
        </xdr:nvSpPr>
        <xdr:spPr>
          <a:xfrm>
            <a:off x="3210" y="2904"/>
            <a:ext cx="54"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4" name="Line 137"/>
          <xdr:cNvSpPr>
            <a:spLocks/>
          </xdr:cNvSpPr>
        </xdr:nvSpPr>
        <xdr:spPr>
          <a:xfrm>
            <a:off x="3234" y="2874"/>
            <a:ext cx="0" cy="6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20</xdr:col>
      <xdr:colOff>190500</xdr:colOff>
      <xdr:row>5</xdr:row>
      <xdr:rowOff>104775</xdr:rowOff>
    </xdr:from>
    <xdr:to>
      <xdr:col>20</xdr:col>
      <xdr:colOff>438150</xdr:colOff>
      <xdr:row>5</xdr:row>
      <xdr:rowOff>333375</xdr:rowOff>
    </xdr:to>
    <xdr:grpSp>
      <xdr:nvGrpSpPr>
        <xdr:cNvPr id="125" name="Group 139"/>
        <xdr:cNvGrpSpPr>
          <a:grpSpLocks/>
        </xdr:cNvGrpSpPr>
      </xdr:nvGrpSpPr>
      <xdr:grpSpPr>
        <a:xfrm>
          <a:off x="14144625" y="1381125"/>
          <a:ext cx="247650" cy="228600"/>
          <a:chOff x="3138" y="2808"/>
          <a:chExt cx="198" cy="198"/>
        </a:xfrm>
        <a:solidFill>
          <a:srgbClr val="FFFFFF"/>
        </a:solidFill>
      </xdr:grpSpPr>
      <xdr:sp>
        <xdr:nvSpPr>
          <xdr:cNvPr id="126" name="Oval 140"/>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7" name="Line 141"/>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8" name="Line 142"/>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18</xdr:col>
      <xdr:colOff>295275</xdr:colOff>
      <xdr:row>5</xdr:row>
      <xdr:rowOff>9525</xdr:rowOff>
    </xdr:from>
    <xdr:to>
      <xdr:col>21</xdr:col>
      <xdr:colOff>428625</xdr:colOff>
      <xdr:row>5</xdr:row>
      <xdr:rowOff>9525</xdr:rowOff>
    </xdr:to>
    <xdr:sp>
      <xdr:nvSpPr>
        <xdr:cNvPr id="129" name="Line 143"/>
        <xdr:cNvSpPr>
          <a:spLocks/>
        </xdr:cNvSpPr>
      </xdr:nvSpPr>
      <xdr:spPr>
        <a:xfrm>
          <a:off x="13030200" y="1285875"/>
          <a:ext cx="1962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209550</xdr:colOff>
      <xdr:row>3</xdr:row>
      <xdr:rowOff>123825</xdr:rowOff>
    </xdr:from>
    <xdr:to>
      <xdr:col>17</xdr:col>
      <xdr:colOff>209550</xdr:colOff>
      <xdr:row>4</xdr:row>
      <xdr:rowOff>142875</xdr:rowOff>
    </xdr:to>
    <xdr:sp>
      <xdr:nvSpPr>
        <xdr:cNvPr id="130" name="Line 144"/>
        <xdr:cNvSpPr>
          <a:spLocks/>
        </xdr:cNvSpPr>
      </xdr:nvSpPr>
      <xdr:spPr>
        <a:xfrm>
          <a:off x="12334875" y="971550"/>
          <a:ext cx="0"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152400</xdr:colOff>
      <xdr:row>5</xdr:row>
      <xdr:rowOff>342900</xdr:rowOff>
    </xdr:from>
    <xdr:to>
      <xdr:col>16</xdr:col>
      <xdr:colOff>152400</xdr:colOff>
      <xdr:row>6</xdr:row>
      <xdr:rowOff>190500</xdr:rowOff>
    </xdr:to>
    <xdr:sp>
      <xdr:nvSpPr>
        <xdr:cNvPr id="131" name="Line 145"/>
        <xdr:cNvSpPr>
          <a:spLocks/>
        </xdr:cNvSpPr>
      </xdr:nvSpPr>
      <xdr:spPr>
        <a:xfrm flipV="1">
          <a:off x="11668125" y="1619250"/>
          <a:ext cx="0" cy="2381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361950</xdr:colOff>
      <xdr:row>5</xdr:row>
      <xdr:rowOff>342900</xdr:rowOff>
    </xdr:from>
    <xdr:to>
      <xdr:col>17</xdr:col>
      <xdr:colOff>361950</xdr:colOff>
      <xdr:row>6</xdr:row>
      <xdr:rowOff>190500</xdr:rowOff>
    </xdr:to>
    <xdr:sp>
      <xdr:nvSpPr>
        <xdr:cNvPr id="132" name="Line 146"/>
        <xdr:cNvSpPr>
          <a:spLocks/>
        </xdr:cNvSpPr>
      </xdr:nvSpPr>
      <xdr:spPr>
        <a:xfrm flipV="1">
          <a:off x="12487275" y="1619250"/>
          <a:ext cx="0" cy="2381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485775</xdr:colOff>
      <xdr:row>5</xdr:row>
      <xdr:rowOff>352425</xdr:rowOff>
    </xdr:from>
    <xdr:to>
      <xdr:col>20</xdr:col>
      <xdr:colOff>485775</xdr:colOff>
      <xdr:row>6</xdr:row>
      <xdr:rowOff>314325</xdr:rowOff>
    </xdr:to>
    <xdr:sp>
      <xdr:nvSpPr>
        <xdr:cNvPr id="133" name="Line 147"/>
        <xdr:cNvSpPr>
          <a:spLocks/>
        </xdr:cNvSpPr>
      </xdr:nvSpPr>
      <xdr:spPr>
        <a:xfrm flipH="1" flipV="1">
          <a:off x="14439900" y="1628775"/>
          <a:ext cx="0" cy="3524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295275</xdr:colOff>
      <xdr:row>2</xdr:row>
      <xdr:rowOff>171450</xdr:rowOff>
    </xdr:from>
    <xdr:to>
      <xdr:col>17</xdr:col>
      <xdr:colOff>552450</xdr:colOff>
      <xdr:row>4</xdr:row>
      <xdr:rowOff>95250</xdr:rowOff>
    </xdr:to>
    <xdr:sp>
      <xdr:nvSpPr>
        <xdr:cNvPr id="134" name="Text Box 148"/>
        <xdr:cNvSpPr txBox="1">
          <a:spLocks noChangeArrowheads="1"/>
        </xdr:cNvSpPr>
      </xdr:nvSpPr>
      <xdr:spPr>
        <a:xfrm>
          <a:off x="12420600" y="781050"/>
          <a:ext cx="257175" cy="390525"/>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19</xdr:col>
      <xdr:colOff>200025</xdr:colOff>
      <xdr:row>3</xdr:row>
      <xdr:rowOff>28575</xdr:rowOff>
    </xdr:from>
    <xdr:to>
      <xdr:col>19</xdr:col>
      <xdr:colOff>600075</xdr:colOff>
      <xdr:row>5</xdr:row>
      <xdr:rowOff>0</xdr:rowOff>
    </xdr:to>
    <xdr:sp>
      <xdr:nvSpPr>
        <xdr:cNvPr id="135" name="Text Box 149"/>
        <xdr:cNvSpPr txBox="1">
          <a:spLocks noChangeArrowheads="1"/>
        </xdr:cNvSpPr>
      </xdr:nvSpPr>
      <xdr:spPr>
        <a:xfrm>
          <a:off x="13544550" y="876300"/>
          <a:ext cx="400050" cy="400050"/>
        </a:xfrm>
        <a:prstGeom prst="rect">
          <a:avLst/>
        </a:prstGeom>
        <a:noFill/>
        <a:ln w="9525" cmpd="sng">
          <a:noFill/>
        </a:ln>
      </xdr:spPr>
      <xdr:txBody>
        <a:bodyPr vertOverflow="clip" wrap="square" lIns="18000" tIns="10800" rIns="18000" bIns="10800"/>
        <a:p>
          <a:pPr algn="l">
            <a:defRPr/>
          </a:pPr>
          <a:r>
            <a:rPr lang="en-US" cap="none" sz="1200" b="0" i="0" u="none" baseline="0">
              <a:solidFill>
                <a:srgbClr val="000000"/>
              </a:solidFill>
            </a:rPr>
            <a:t/>
          </a:r>
        </a:p>
      </xdr:txBody>
    </xdr:sp>
    <xdr:clientData/>
  </xdr:twoCellAnchor>
  <xdr:twoCellAnchor>
    <xdr:from>
      <xdr:col>20</xdr:col>
      <xdr:colOff>533400</xdr:colOff>
      <xdr:row>5</xdr:row>
      <xdr:rowOff>104775</xdr:rowOff>
    </xdr:from>
    <xdr:to>
      <xdr:col>21</xdr:col>
      <xdr:colOff>161925</xdr:colOff>
      <xdr:row>5</xdr:row>
      <xdr:rowOff>333375</xdr:rowOff>
    </xdr:to>
    <xdr:grpSp>
      <xdr:nvGrpSpPr>
        <xdr:cNvPr id="136" name="Group 150"/>
        <xdr:cNvGrpSpPr>
          <a:grpSpLocks/>
        </xdr:cNvGrpSpPr>
      </xdr:nvGrpSpPr>
      <xdr:grpSpPr>
        <a:xfrm>
          <a:off x="14487525" y="1381125"/>
          <a:ext cx="238125" cy="228600"/>
          <a:chOff x="3138" y="2808"/>
          <a:chExt cx="198" cy="198"/>
        </a:xfrm>
        <a:solidFill>
          <a:srgbClr val="FFFFFF"/>
        </a:solidFill>
      </xdr:grpSpPr>
      <xdr:sp>
        <xdr:nvSpPr>
          <xdr:cNvPr id="137" name="Oval 151"/>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8" name="Line 152"/>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9" name="Line 153"/>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18</xdr:col>
      <xdr:colOff>514350</xdr:colOff>
      <xdr:row>6</xdr:row>
      <xdr:rowOff>304800</xdr:rowOff>
    </xdr:from>
    <xdr:to>
      <xdr:col>19</xdr:col>
      <xdr:colOff>247650</xdr:colOff>
      <xdr:row>6</xdr:row>
      <xdr:rowOff>514350</xdr:rowOff>
    </xdr:to>
    <xdr:sp>
      <xdr:nvSpPr>
        <xdr:cNvPr id="140" name="Text Box 154"/>
        <xdr:cNvSpPr txBox="1">
          <a:spLocks noChangeArrowheads="1"/>
        </xdr:cNvSpPr>
      </xdr:nvSpPr>
      <xdr:spPr>
        <a:xfrm>
          <a:off x="13249275" y="1971675"/>
          <a:ext cx="342900" cy="209550"/>
        </a:xfrm>
        <a:prstGeom prst="rect">
          <a:avLst/>
        </a:prstGeom>
        <a:noFill/>
        <a:ln w="9525" cmpd="sng">
          <a:noFill/>
        </a:ln>
      </xdr:spPr>
      <xdr:txBody>
        <a:bodyPr vertOverflow="clip" wrap="square" lIns="18000" tIns="10800" rIns="18000" bIns="10800"/>
        <a:p>
          <a:pPr algn="l">
            <a:defRPr/>
          </a:pPr>
          <a:r>
            <a:rPr lang="en-US" cap="none" sz="1200" b="1" i="0" u="none" baseline="0">
              <a:solidFill>
                <a:srgbClr val="FF0000"/>
              </a:solidFill>
            </a:rPr>
            <a:t>WB
</a:t>
          </a:r>
        </a:p>
      </xdr:txBody>
    </xdr:sp>
    <xdr:clientData/>
  </xdr:twoCellAnchor>
  <xdr:twoCellAnchor>
    <xdr:from>
      <xdr:col>17</xdr:col>
      <xdr:colOff>209550</xdr:colOff>
      <xdr:row>5</xdr:row>
      <xdr:rowOff>76200</xdr:rowOff>
    </xdr:from>
    <xdr:to>
      <xdr:col>17</xdr:col>
      <xdr:colOff>209550</xdr:colOff>
      <xdr:row>6</xdr:row>
      <xdr:rowOff>619125</xdr:rowOff>
    </xdr:to>
    <xdr:sp>
      <xdr:nvSpPr>
        <xdr:cNvPr id="141" name="Line 155"/>
        <xdr:cNvSpPr>
          <a:spLocks/>
        </xdr:cNvSpPr>
      </xdr:nvSpPr>
      <xdr:spPr>
        <a:xfrm>
          <a:off x="12334875" y="1352550"/>
          <a:ext cx="0" cy="933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495300</xdr:colOff>
      <xdr:row>6</xdr:row>
      <xdr:rowOff>352425</xdr:rowOff>
    </xdr:from>
    <xdr:to>
      <xdr:col>20</xdr:col>
      <xdr:colOff>495300</xdr:colOff>
      <xdr:row>6</xdr:row>
      <xdr:rowOff>619125</xdr:rowOff>
    </xdr:to>
    <xdr:sp>
      <xdr:nvSpPr>
        <xdr:cNvPr id="142" name="Line 156"/>
        <xdr:cNvSpPr>
          <a:spLocks/>
        </xdr:cNvSpPr>
      </xdr:nvSpPr>
      <xdr:spPr>
        <a:xfrm>
          <a:off x="14449425" y="20193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247650</xdr:colOff>
      <xdr:row>6</xdr:row>
      <xdr:rowOff>523875</xdr:rowOff>
    </xdr:from>
    <xdr:to>
      <xdr:col>20</xdr:col>
      <xdr:colOff>466725</xdr:colOff>
      <xdr:row>6</xdr:row>
      <xdr:rowOff>523875</xdr:rowOff>
    </xdr:to>
    <xdr:sp>
      <xdr:nvSpPr>
        <xdr:cNvPr id="143" name="Line 157"/>
        <xdr:cNvSpPr>
          <a:spLocks/>
        </xdr:cNvSpPr>
      </xdr:nvSpPr>
      <xdr:spPr>
        <a:xfrm>
          <a:off x="12372975" y="2190750"/>
          <a:ext cx="2047875"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314325</xdr:colOff>
      <xdr:row>6</xdr:row>
      <xdr:rowOff>9525</xdr:rowOff>
    </xdr:from>
    <xdr:to>
      <xdr:col>20</xdr:col>
      <xdr:colOff>314325</xdr:colOff>
      <xdr:row>6</xdr:row>
      <xdr:rowOff>266700</xdr:rowOff>
    </xdr:to>
    <xdr:sp>
      <xdr:nvSpPr>
        <xdr:cNvPr id="144" name="Line 158"/>
        <xdr:cNvSpPr>
          <a:spLocks/>
        </xdr:cNvSpPr>
      </xdr:nvSpPr>
      <xdr:spPr>
        <a:xfrm>
          <a:off x="14268450" y="16764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38100</xdr:colOff>
      <xdr:row>6</xdr:row>
      <xdr:rowOff>9525</xdr:rowOff>
    </xdr:from>
    <xdr:to>
      <xdr:col>21</xdr:col>
      <xdr:colOff>38100</xdr:colOff>
      <xdr:row>6</xdr:row>
      <xdr:rowOff>266700</xdr:rowOff>
    </xdr:to>
    <xdr:sp>
      <xdr:nvSpPr>
        <xdr:cNvPr id="145" name="Line 159"/>
        <xdr:cNvSpPr>
          <a:spLocks/>
        </xdr:cNvSpPr>
      </xdr:nvSpPr>
      <xdr:spPr>
        <a:xfrm>
          <a:off x="14601825" y="16764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533400</xdr:colOff>
      <xdr:row>6</xdr:row>
      <xdr:rowOff>209550</xdr:rowOff>
    </xdr:from>
    <xdr:to>
      <xdr:col>20</xdr:col>
      <xdr:colOff>314325</xdr:colOff>
      <xdr:row>6</xdr:row>
      <xdr:rowOff>209550</xdr:rowOff>
    </xdr:to>
    <xdr:sp>
      <xdr:nvSpPr>
        <xdr:cNvPr id="146" name="Line 160"/>
        <xdr:cNvSpPr>
          <a:spLocks/>
        </xdr:cNvSpPr>
      </xdr:nvSpPr>
      <xdr:spPr>
        <a:xfrm>
          <a:off x="13877925" y="1876425"/>
          <a:ext cx="390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28575</xdr:colOff>
      <xdr:row>6</xdr:row>
      <xdr:rowOff>209550</xdr:rowOff>
    </xdr:from>
    <xdr:to>
      <xdr:col>21</xdr:col>
      <xdr:colOff>419100</xdr:colOff>
      <xdr:row>6</xdr:row>
      <xdr:rowOff>209550</xdr:rowOff>
    </xdr:to>
    <xdr:sp>
      <xdr:nvSpPr>
        <xdr:cNvPr id="147" name="Line 161"/>
        <xdr:cNvSpPr>
          <a:spLocks/>
        </xdr:cNvSpPr>
      </xdr:nvSpPr>
      <xdr:spPr>
        <a:xfrm flipH="1">
          <a:off x="14592300" y="1876425"/>
          <a:ext cx="390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485775</xdr:colOff>
      <xdr:row>6</xdr:row>
      <xdr:rowOff>9525</xdr:rowOff>
    </xdr:from>
    <xdr:to>
      <xdr:col>20</xdr:col>
      <xdr:colOff>228600</xdr:colOff>
      <xdr:row>6</xdr:row>
      <xdr:rowOff>238125</xdr:rowOff>
    </xdr:to>
    <xdr:sp>
      <xdr:nvSpPr>
        <xdr:cNvPr id="148" name="Text Box 162"/>
        <xdr:cNvSpPr txBox="1">
          <a:spLocks noChangeArrowheads="1"/>
        </xdr:cNvSpPr>
      </xdr:nvSpPr>
      <xdr:spPr>
        <a:xfrm>
          <a:off x="13830300" y="1676400"/>
          <a:ext cx="352425" cy="228600"/>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d/2
</a:t>
          </a:r>
        </a:p>
      </xdr:txBody>
    </xdr:sp>
    <xdr:clientData/>
  </xdr:twoCellAnchor>
  <xdr:twoCellAnchor>
    <xdr:from>
      <xdr:col>20</xdr:col>
      <xdr:colOff>314325</xdr:colOff>
      <xdr:row>6</xdr:row>
      <xdr:rowOff>209550</xdr:rowOff>
    </xdr:from>
    <xdr:to>
      <xdr:col>21</xdr:col>
      <xdr:colOff>28575</xdr:colOff>
      <xdr:row>6</xdr:row>
      <xdr:rowOff>209550</xdr:rowOff>
    </xdr:to>
    <xdr:sp>
      <xdr:nvSpPr>
        <xdr:cNvPr id="149" name="Line 163"/>
        <xdr:cNvSpPr>
          <a:spLocks/>
        </xdr:cNvSpPr>
      </xdr:nvSpPr>
      <xdr:spPr>
        <a:xfrm flipV="1">
          <a:off x="14268450" y="187642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161925</xdr:colOff>
      <xdr:row>6</xdr:row>
      <xdr:rowOff>9525</xdr:rowOff>
    </xdr:from>
    <xdr:to>
      <xdr:col>21</xdr:col>
      <xdr:colOff>504825</xdr:colOff>
      <xdr:row>6</xdr:row>
      <xdr:rowOff>219075</xdr:rowOff>
    </xdr:to>
    <xdr:sp>
      <xdr:nvSpPr>
        <xdr:cNvPr id="150" name="Text Box 164"/>
        <xdr:cNvSpPr txBox="1">
          <a:spLocks noChangeArrowheads="1"/>
        </xdr:cNvSpPr>
      </xdr:nvSpPr>
      <xdr:spPr>
        <a:xfrm>
          <a:off x="14725650" y="1676400"/>
          <a:ext cx="342900" cy="209550"/>
        </a:xfrm>
        <a:prstGeom prst="rect">
          <a:avLst/>
        </a:prstGeom>
        <a:noFill/>
        <a:ln w="9525" cmpd="sng">
          <a:noFill/>
        </a:ln>
      </xdr:spPr>
      <xdr:txBody>
        <a:bodyPr vertOverflow="clip" wrap="square" lIns="18000" tIns="10800" rIns="18000" bIns="10800"/>
        <a:p>
          <a:pPr algn="l">
            <a:defRPr/>
          </a:pPr>
          <a:r>
            <a:rPr lang="en-US" cap="none" sz="1000" b="0" i="0" u="none" baseline="0">
              <a:solidFill>
                <a:srgbClr val="000000"/>
              </a:solidFill>
            </a:rPr>
            <a:t>d/2
</a:t>
          </a:r>
        </a:p>
      </xdr:txBody>
    </xdr:sp>
    <xdr:clientData/>
  </xdr:twoCellAnchor>
  <xdr:twoCellAnchor>
    <xdr:from>
      <xdr:col>16</xdr:col>
      <xdr:colOff>495300</xdr:colOff>
      <xdr:row>4</xdr:row>
      <xdr:rowOff>28575</xdr:rowOff>
    </xdr:from>
    <xdr:to>
      <xdr:col>16</xdr:col>
      <xdr:colOff>495300</xdr:colOff>
      <xdr:row>6</xdr:row>
      <xdr:rowOff>781050</xdr:rowOff>
    </xdr:to>
    <xdr:sp>
      <xdr:nvSpPr>
        <xdr:cNvPr id="151" name="Straight Connector 1131"/>
        <xdr:cNvSpPr>
          <a:spLocks/>
        </xdr:cNvSpPr>
      </xdr:nvSpPr>
      <xdr:spPr>
        <a:xfrm rot="16200000" flipH="1">
          <a:off x="12011025" y="1104900"/>
          <a:ext cx="0" cy="1343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514350</xdr:colOff>
      <xdr:row>6</xdr:row>
      <xdr:rowOff>514350</xdr:rowOff>
    </xdr:from>
    <xdr:to>
      <xdr:col>17</xdr:col>
      <xdr:colOff>200025</xdr:colOff>
      <xdr:row>6</xdr:row>
      <xdr:rowOff>514350</xdr:rowOff>
    </xdr:to>
    <xdr:sp>
      <xdr:nvSpPr>
        <xdr:cNvPr id="152" name="Line 208"/>
        <xdr:cNvSpPr>
          <a:spLocks/>
        </xdr:cNvSpPr>
      </xdr:nvSpPr>
      <xdr:spPr>
        <a:xfrm>
          <a:off x="12030075" y="2181225"/>
          <a:ext cx="2952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514350</xdr:colOff>
      <xdr:row>6</xdr:row>
      <xdr:rowOff>314325</xdr:rowOff>
    </xdr:from>
    <xdr:to>
      <xdr:col>17</xdr:col>
      <xdr:colOff>200025</xdr:colOff>
      <xdr:row>6</xdr:row>
      <xdr:rowOff>495300</xdr:rowOff>
    </xdr:to>
    <xdr:sp>
      <xdr:nvSpPr>
        <xdr:cNvPr id="153" name="Text Box 210"/>
        <xdr:cNvSpPr txBox="1">
          <a:spLocks noChangeArrowheads="1"/>
        </xdr:cNvSpPr>
      </xdr:nvSpPr>
      <xdr:spPr>
        <a:xfrm>
          <a:off x="12030075" y="1981200"/>
          <a:ext cx="295275" cy="180975"/>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FOH
</a:t>
          </a:r>
        </a:p>
      </xdr:txBody>
    </xdr:sp>
    <xdr:clientData/>
  </xdr:twoCellAnchor>
  <xdr:twoCellAnchor>
    <xdr:from>
      <xdr:col>21</xdr:col>
      <xdr:colOff>419100</xdr:colOff>
      <xdr:row>5</xdr:row>
      <xdr:rowOff>95250</xdr:rowOff>
    </xdr:from>
    <xdr:to>
      <xdr:col>21</xdr:col>
      <xdr:colOff>419100</xdr:colOff>
      <xdr:row>6</xdr:row>
      <xdr:rowOff>790575</xdr:rowOff>
    </xdr:to>
    <xdr:sp>
      <xdr:nvSpPr>
        <xdr:cNvPr id="154" name="Straight Connector 1134"/>
        <xdr:cNvSpPr>
          <a:spLocks/>
        </xdr:cNvSpPr>
      </xdr:nvSpPr>
      <xdr:spPr>
        <a:xfrm rot="16200000" flipH="1">
          <a:off x="14982825" y="1371600"/>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9525</xdr:colOff>
      <xdr:row>6</xdr:row>
      <xdr:rowOff>342900</xdr:rowOff>
    </xdr:from>
    <xdr:to>
      <xdr:col>21</xdr:col>
      <xdr:colOff>342900</xdr:colOff>
      <xdr:row>6</xdr:row>
      <xdr:rowOff>533400</xdr:rowOff>
    </xdr:to>
    <xdr:sp>
      <xdr:nvSpPr>
        <xdr:cNvPr id="155" name="Text Box 210"/>
        <xdr:cNvSpPr txBox="1">
          <a:spLocks noChangeArrowheads="1"/>
        </xdr:cNvSpPr>
      </xdr:nvSpPr>
      <xdr:spPr>
        <a:xfrm>
          <a:off x="14573250" y="2009775"/>
          <a:ext cx="333375" cy="190500"/>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ROH
</a:t>
          </a:r>
        </a:p>
      </xdr:txBody>
    </xdr:sp>
    <xdr:clientData/>
  </xdr:twoCellAnchor>
  <xdr:twoCellAnchor>
    <xdr:from>
      <xdr:col>20</xdr:col>
      <xdr:colOff>514350</xdr:colOff>
      <xdr:row>6</xdr:row>
      <xdr:rowOff>542925</xdr:rowOff>
    </xdr:from>
    <xdr:to>
      <xdr:col>21</xdr:col>
      <xdr:colOff>409575</xdr:colOff>
      <xdr:row>6</xdr:row>
      <xdr:rowOff>552450</xdr:rowOff>
    </xdr:to>
    <xdr:sp>
      <xdr:nvSpPr>
        <xdr:cNvPr id="156" name="Straight Arrow Connector 1136"/>
        <xdr:cNvSpPr>
          <a:spLocks/>
        </xdr:cNvSpPr>
      </xdr:nvSpPr>
      <xdr:spPr>
        <a:xfrm>
          <a:off x="14468475" y="2209800"/>
          <a:ext cx="504825" cy="95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447675</xdr:colOff>
      <xdr:row>4</xdr:row>
      <xdr:rowOff>76200</xdr:rowOff>
    </xdr:from>
    <xdr:to>
      <xdr:col>16</xdr:col>
      <xdr:colOff>495300</xdr:colOff>
      <xdr:row>4</xdr:row>
      <xdr:rowOff>133350</xdr:rowOff>
    </xdr:to>
    <xdr:sp>
      <xdr:nvSpPr>
        <xdr:cNvPr id="157" name="Rounded Rectangle 163"/>
        <xdr:cNvSpPr>
          <a:spLocks/>
        </xdr:cNvSpPr>
      </xdr:nvSpPr>
      <xdr:spPr>
        <a:xfrm>
          <a:off x="11963400" y="1152525"/>
          <a:ext cx="47625" cy="57150"/>
        </a:xfrm>
        <a:prstGeom prst="round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447675</xdr:colOff>
      <xdr:row>4</xdr:row>
      <xdr:rowOff>104775</xdr:rowOff>
    </xdr:from>
    <xdr:to>
      <xdr:col>16</xdr:col>
      <xdr:colOff>447675</xdr:colOff>
      <xdr:row>6</xdr:row>
      <xdr:rowOff>609600</xdr:rowOff>
    </xdr:to>
    <xdr:sp>
      <xdr:nvSpPr>
        <xdr:cNvPr id="158" name="Straight Connector 164"/>
        <xdr:cNvSpPr>
          <a:spLocks/>
        </xdr:cNvSpPr>
      </xdr:nvSpPr>
      <xdr:spPr>
        <a:xfrm rot="10800000" flipV="1">
          <a:off x="11963400" y="1181100"/>
          <a:ext cx="0"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152400</xdr:colOff>
      <xdr:row>6</xdr:row>
      <xdr:rowOff>514350</xdr:rowOff>
    </xdr:from>
    <xdr:to>
      <xdr:col>16</xdr:col>
      <xdr:colOff>438150</xdr:colOff>
      <xdr:row>6</xdr:row>
      <xdr:rowOff>514350</xdr:rowOff>
    </xdr:to>
    <xdr:sp>
      <xdr:nvSpPr>
        <xdr:cNvPr id="159" name="Line 208"/>
        <xdr:cNvSpPr>
          <a:spLocks/>
        </xdr:cNvSpPr>
      </xdr:nvSpPr>
      <xdr:spPr>
        <a:xfrm>
          <a:off x="11668125" y="2181225"/>
          <a:ext cx="285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152400</xdr:colOff>
      <xdr:row>6</xdr:row>
      <xdr:rowOff>314325</xdr:rowOff>
    </xdr:from>
    <xdr:to>
      <xdr:col>16</xdr:col>
      <xdr:colOff>390525</xdr:colOff>
      <xdr:row>6</xdr:row>
      <xdr:rowOff>495300</xdr:rowOff>
    </xdr:to>
    <xdr:sp>
      <xdr:nvSpPr>
        <xdr:cNvPr id="160" name="Text Box 210"/>
        <xdr:cNvSpPr txBox="1">
          <a:spLocks noChangeArrowheads="1"/>
        </xdr:cNvSpPr>
      </xdr:nvSpPr>
      <xdr:spPr>
        <a:xfrm>
          <a:off x="11668125" y="1981200"/>
          <a:ext cx="238125" cy="180975"/>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Fnt
</a:t>
          </a:r>
        </a:p>
      </xdr:txBody>
    </xdr:sp>
    <xdr:clientData/>
  </xdr:twoCellAnchor>
  <xdr:twoCellAnchor>
    <xdr:from>
      <xdr:col>16</xdr:col>
      <xdr:colOff>438150</xdr:colOff>
      <xdr:row>6</xdr:row>
      <xdr:rowOff>523875</xdr:rowOff>
    </xdr:from>
    <xdr:to>
      <xdr:col>16</xdr:col>
      <xdr:colOff>514350</xdr:colOff>
      <xdr:row>6</xdr:row>
      <xdr:rowOff>523875</xdr:rowOff>
    </xdr:to>
    <xdr:sp>
      <xdr:nvSpPr>
        <xdr:cNvPr id="161" name="Straight Connector 169"/>
        <xdr:cNvSpPr>
          <a:spLocks/>
        </xdr:cNvSpPr>
      </xdr:nvSpPr>
      <xdr:spPr>
        <a:xfrm rot="5400000" flipH="1" flipV="1">
          <a:off x="11953875" y="2190750"/>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409575</xdr:colOff>
      <xdr:row>5</xdr:row>
      <xdr:rowOff>66675</xdr:rowOff>
    </xdr:from>
    <xdr:to>
      <xdr:col>21</xdr:col>
      <xdr:colOff>457200</xdr:colOff>
      <xdr:row>5</xdr:row>
      <xdr:rowOff>123825</xdr:rowOff>
    </xdr:to>
    <xdr:sp>
      <xdr:nvSpPr>
        <xdr:cNvPr id="162" name="Rounded Rectangle 170"/>
        <xdr:cNvSpPr>
          <a:spLocks/>
        </xdr:cNvSpPr>
      </xdr:nvSpPr>
      <xdr:spPr>
        <a:xfrm>
          <a:off x="14973300" y="1343025"/>
          <a:ext cx="47625" cy="57150"/>
        </a:xfrm>
        <a:prstGeom prst="roundRect">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457200</xdr:colOff>
      <xdr:row>5</xdr:row>
      <xdr:rowOff>104775</xdr:rowOff>
    </xdr:from>
    <xdr:to>
      <xdr:col>21</xdr:col>
      <xdr:colOff>466725</xdr:colOff>
      <xdr:row>6</xdr:row>
      <xdr:rowOff>628650</xdr:rowOff>
    </xdr:to>
    <xdr:sp>
      <xdr:nvSpPr>
        <xdr:cNvPr id="163" name="Straight Connector 171"/>
        <xdr:cNvSpPr>
          <a:spLocks/>
        </xdr:cNvSpPr>
      </xdr:nvSpPr>
      <xdr:spPr>
        <a:xfrm rot="16200000" flipH="1">
          <a:off x="15020925" y="1381125"/>
          <a:ext cx="9525" cy="914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581025</xdr:colOff>
      <xdr:row>6</xdr:row>
      <xdr:rowOff>371475</xdr:rowOff>
    </xdr:from>
    <xdr:to>
      <xdr:col>22</xdr:col>
      <xdr:colOff>247650</xdr:colOff>
      <xdr:row>6</xdr:row>
      <xdr:rowOff>542925</xdr:rowOff>
    </xdr:to>
    <xdr:sp>
      <xdr:nvSpPr>
        <xdr:cNvPr id="164" name="Text Box 210"/>
        <xdr:cNvSpPr txBox="1">
          <a:spLocks noChangeArrowheads="1"/>
        </xdr:cNvSpPr>
      </xdr:nvSpPr>
      <xdr:spPr>
        <a:xfrm>
          <a:off x="15144750" y="2038350"/>
          <a:ext cx="276225" cy="171450"/>
        </a:xfrm>
        <a:prstGeom prst="rect">
          <a:avLst/>
        </a:prstGeom>
        <a:noFill/>
        <a:ln w="9525" cmpd="sng">
          <a:noFill/>
        </a:ln>
      </xdr:spPr>
      <xdr:txBody>
        <a:bodyPr vertOverflow="clip" wrap="square" lIns="18000" tIns="10800" rIns="18000" bIns="10800"/>
        <a:p>
          <a:pPr algn="l">
            <a:defRPr/>
          </a:pPr>
          <a:r>
            <a:rPr lang="en-US" cap="none" sz="900" b="1" i="0" u="none" baseline="0">
              <a:solidFill>
                <a:srgbClr val="FF0000"/>
              </a:solidFill>
            </a:rPr>
            <a:t>Fns
</a:t>
          </a:r>
        </a:p>
      </xdr:txBody>
    </xdr:sp>
    <xdr:clientData/>
  </xdr:twoCellAnchor>
  <xdr:twoCellAnchor>
    <xdr:from>
      <xdr:col>21</xdr:col>
      <xdr:colOff>476250</xdr:colOff>
      <xdr:row>6</xdr:row>
      <xdr:rowOff>552450</xdr:rowOff>
    </xdr:from>
    <xdr:to>
      <xdr:col>22</xdr:col>
      <xdr:colOff>295275</xdr:colOff>
      <xdr:row>6</xdr:row>
      <xdr:rowOff>552450</xdr:rowOff>
    </xdr:to>
    <xdr:sp>
      <xdr:nvSpPr>
        <xdr:cNvPr id="165" name="Straight Arrow Connector 173"/>
        <xdr:cNvSpPr>
          <a:spLocks/>
        </xdr:cNvSpPr>
      </xdr:nvSpPr>
      <xdr:spPr>
        <a:xfrm>
          <a:off x="15039975" y="2219325"/>
          <a:ext cx="428625"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390525</xdr:colOff>
      <xdr:row>6</xdr:row>
      <xdr:rowOff>552450</xdr:rowOff>
    </xdr:from>
    <xdr:to>
      <xdr:col>21</xdr:col>
      <xdr:colOff>504825</xdr:colOff>
      <xdr:row>6</xdr:row>
      <xdr:rowOff>552450</xdr:rowOff>
    </xdr:to>
    <xdr:sp>
      <xdr:nvSpPr>
        <xdr:cNvPr id="166" name="Straight Connector 176"/>
        <xdr:cNvSpPr>
          <a:spLocks/>
        </xdr:cNvSpPr>
      </xdr:nvSpPr>
      <xdr:spPr>
        <a:xfrm flipV="1">
          <a:off x="14954250" y="2219325"/>
          <a:ext cx="114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476250</xdr:colOff>
      <xdr:row>6</xdr:row>
      <xdr:rowOff>542925</xdr:rowOff>
    </xdr:from>
    <xdr:to>
      <xdr:col>19</xdr:col>
      <xdr:colOff>209550</xdr:colOff>
      <xdr:row>6</xdr:row>
      <xdr:rowOff>742950</xdr:rowOff>
    </xdr:to>
    <xdr:sp>
      <xdr:nvSpPr>
        <xdr:cNvPr id="167" name="Text Box 154"/>
        <xdr:cNvSpPr txBox="1">
          <a:spLocks noChangeArrowheads="1"/>
        </xdr:cNvSpPr>
      </xdr:nvSpPr>
      <xdr:spPr>
        <a:xfrm>
          <a:off x="13211175" y="2209800"/>
          <a:ext cx="342900" cy="200025"/>
        </a:xfrm>
        <a:prstGeom prst="rect">
          <a:avLst/>
        </a:prstGeom>
        <a:noFill/>
        <a:ln w="9525" cmpd="sng">
          <a:noFill/>
        </a:ln>
      </xdr:spPr>
      <xdr:txBody>
        <a:bodyPr vertOverflow="clip" wrap="square" lIns="18000" tIns="10800" rIns="18000" bIns="10800"/>
        <a:p>
          <a:pPr algn="l">
            <a:defRPr/>
          </a:pPr>
          <a:r>
            <a:rPr lang="en-US" cap="none" sz="1200" b="1" i="0" u="none" baseline="0">
              <a:solidFill>
                <a:srgbClr val="FF0000"/>
              </a:solidFill>
            </a:rPr>
            <a:t>LsmWB
</a:t>
          </a:r>
        </a:p>
      </xdr:txBody>
    </xdr:sp>
    <xdr:clientData/>
  </xdr:twoCellAnchor>
  <xdr:twoCellAnchor>
    <xdr:from>
      <xdr:col>16</xdr:col>
      <xdr:colOff>504825</xdr:colOff>
      <xdr:row>6</xdr:row>
      <xdr:rowOff>733425</xdr:rowOff>
    </xdr:from>
    <xdr:to>
      <xdr:col>21</xdr:col>
      <xdr:colOff>419100</xdr:colOff>
      <xdr:row>6</xdr:row>
      <xdr:rowOff>742950</xdr:rowOff>
    </xdr:to>
    <xdr:sp>
      <xdr:nvSpPr>
        <xdr:cNvPr id="168" name="Straight Arrow Connector 186"/>
        <xdr:cNvSpPr>
          <a:spLocks/>
        </xdr:cNvSpPr>
      </xdr:nvSpPr>
      <xdr:spPr>
        <a:xfrm>
          <a:off x="12020550" y="2400300"/>
          <a:ext cx="2962275" cy="95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200025</xdr:colOff>
      <xdr:row>2</xdr:row>
      <xdr:rowOff>161925</xdr:rowOff>
    </xdr:from>
    <xdr:to>
      <xdr:col>20</xdr:col>
      <xdr:colOff>314325</xdr:colOff>
      <xdr:row>3</xdr:row>
      <xdr:rowOff>95250</xdr:rowOff>
    </xdr:to>
    <xdr:sp>
      <xdr:nvSpPr>
        <xdr:cNvPr id="169" name="Line Callout 1 175"/>
        <xdr:cNvSpPr>
          <a:spLocks/>
        </xdr:cNvSpPr>
      </xdr:nvSpPr>
      <xdr:spPr>
        <a:xfrm>
          <a:off x="12325350" y="771525"/>
          <a:ext cx="1943100" cy="171450"/>
        </a:xfrm>
        <a:prstGeom prst="borderCallout1">
          <a:avLst>
            <a:gd name="adj1" fmla="val -65458"/>
            <a:gd name="adj2" fmla="val 187685"/>
            <a:gd name="adj3" fmla="val -49759"/>
            <a:gd name="adj4" fmla="val 4476"/>
          </a:avLst>
        </a:prstGeom>
        <a:solidFill>
          <a:srgbClr val="FFFFFF"/>
        </a:solidFill>
        <a:ln w="3175" cmpd="sng">
          <a:solidFill>
            <a:srgbClr val="4F81BD"/>
          </a:solidFill>
          <a:prstDash val="sysDash"/>
          <a:headEnd type="oval"/>
          <a:tailEnd type="oval"/>
        </a:ln>
      </xdr:spPr>
      <xdr:txBody>
        <a:bodyPr vertOverflow="clip" wrap="square" lIns="91440" tIns="45720" rIns="91440" bIns="45720" anchor="ctr"/>
        <a:p>
          <a:pPr algn="ctr">
            <a:defRPr/>
          </a:pPr>
          <a:r>
            <a:rPr lang="en-US" cap="none" sz="1100" b="0" i="0" u="none" baseline="0">
              <a:solidFill>
                <a:srgbClr val="000000"/>
              </a:solidFill>
            </a:rPr>
            <a:t>Vị</a:t>
          </a:r>
          <a:r>
            <a:rPr lang="en-US" cap="none" sz="1100" b="0" i="0" u="none" baseline="0">
              <a:solidFill>
                <a:srgbClr val="000000"/>
              </a:solidFill>
            </a:rPr>
            <a:t> trí chốt khóa container</a:t>
          </a:r>
        </a:p>
      </xdr:txBody>
    </xdr:sp>
    <xdr:clientData/>
  </xdr:twoCellAnchor>
  <xdr:twoCellAnchor>
    <xdr:from>
      <xdr:col>20</xdr:col>
      <xdr:colOff>314325</xdr:colOff>
      <xdr:row>3</xdr:row>
      <xdr:rowOff>9525</xdr:rowOff>
    </xdr:from>
    <xdr:to>
      <xdr:col>21</xdr:col>
      <xdr:colOff>409575</xdr:colOff>
      <xdr:row>4</xdr:row>
      <xdr:rowOff>190500</xdr:rowOff>
    </xdr:to>
    <xdr:sp>
      <xdr:nvSpPr>
        <xdr:cNvPr id="170" name="Straight Arrow Connector 178"/>
        <xdr:cNvSpPr>
          <a:spLocks/>
        </xdr:cNvSpPr>
      </xdr:nvSpPr>
      <xdr:spPr>
        <a:xfrm>
          <a:off x="14268450" y="857250"/>
          <a:ext cx="704850" cy="409575"/>
        </a:xfrm>
        <a:prstGeom prst="straightConnector1">
          <a:avLst/>
        </a:prstGeom>
        <a:noFill/>
        <a:ln w="3175" cmpd="sng">
          <a:solidFill>
            <a:srgbClr val="4A7EBB"/>
          </a:solidFill>
          <a:prstDash val="sysDash"/>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419100</xdr:colOff>
      <xdr:row>7</xdr:row>
      <xdr:rowOff>66675</xdr:rowOff>
    </xdr:from>
    <xdr:to>
      <xdr:col>21</xdr:col>
      <xdr:colOff>209550</xdr:colOff>
      <xdr:row>7</xdr:row>
      <xdr:rowOff>447675</xdr:rowOff>
    </xdr:to>
    <xdr:sp>
      <xdr:nvSpPr>
        <xdr:cNvPr id="171" name="Line Callout 1 177"/>
        <xdr:cNvSpPr>
          <a:spLocks/>
        </xdr:cNvSpPr>
      </xdr:nvSpPr>
      <xdr:spPr>
        <a:xfrm>
          <a:off x="12544425" y="2619375"/>
          <a:ext cx="2228850" cy="381000"/>
        </a:xfrm>
        <a:prstGeom prst="borderCallout1">
          <a:avLst>
            <a:gd name="adj1" fmla="val -60555"/>
            <a:gd name="adj2" fmla="val 67962"/>
            <a:gd name="adj3" fmla="val -49759"/>
            <a:gd name="adj4" fmla="val 4476"/>
          </a:avLst>
        </a:prstGeom>
        <a:solidFill>
          <a:srgbClr val="FFFFFF"/>
        </a:solidFill>
        <a:ln w="3175" cmpd="sng">
          <a:solidFill>
            <a:srgbClr val="4F81BD"/>
          </a:solidFill>
          <a:prstDash val="sysDash"/>
          <a:headEnd type="oval"/>
          <a:tailEnd type="oval"/>
        </a:ln>
      </xdr:spPr>
      <xdr:txBody>
        <a:bodyPr vertOverflow="clip" wrap="square" lIns="91440" tIns="45720" rIns="91440" bIns="45720" anchor="ctr"/>
        <a:p>
          <a:pPr algn="ctr">
            <a:defRPr/>
          </a:pPr>
          <a:r>
            <a:rPr lang="en-US" cap="none" sz="1100" b="0" i="0" u="none" baseline="0">
              <a:solidFill>
                <a:srgbClr val="000000"/>
              </a:solidFill>
            </a:rPr>
            <a:t>Vị</a:t>
          </a:r>
          <a:r>
            <a:rPr lang="en-US" cap="none" sz="1100" b="0" i="0" u="none" baseline="0">
              <a:solidFill>
                <a:srgbClr val="000000"/>
              </a:solidFill>
            </a:rPr>
            <a:t> trí chốt khóa container nằm sau
</a:t>
          </a:r>
          <a:r>
            <a:rPr lang="en-US" cap="none" sz="1100" b="0" i="0" u="none" baseline="0">
              <a:solidFill>
                <a:srgbClr val="000000"/>
              </a:solidFill>
            </a:rPr>
            <a:t>(tính gần đúng với </a:t>
          </a:r>
          <a:r>
            <a:rPr lang="en-US" cap="none" sz="1100" b="0" i="0" u="none" baseline="0">
              <a:solidFill>
                <a:srgbClr val="FF0000"/>
              </a:solidFill>
            </a:rPr>
            <a:t>Fnt = 0</a:t>
          </a:r>
          <a:r>
            <a:rPr lang="en-US" cap="none" sz="1100" b="0" i="0" u="none" baseline="0">
              <a:solidFill>
                <a:srgbClr val="000000"/>
              </a:solidFill>
            </a:rPr>
            <a:t>)</a:t>
          </a:r>
        </a:p>
      </xdr:txBody>
    </xdr:sp>
    <xdr:clientData/>
  </xdr:twoCellAnchor>
  <xdr:twoCellAnchor>
    <xdr:from>
      <xdr:col>21</xdr:col>
      <xdr:colOff>209550</xdr:colOff>
      <xdr:row>7</xdr:row>
      <xdr:rowOff>257175</xdr:rowOff>
    </xdr:from>
    <xdr:to>
      <xdr:col>22</xdr:col>
      <xdr:colOff>19050</xdr:colOff>
      <xdr:row>7</xdr:row>
      <xdr:rowOff>619125</xdr:rowOff>
    </xdr:to>
    <xdr:sp>
      <xdr:nvSpPr>
        <xdr:cNvPr id="172" name="Straight Arrow Connector 179"/>
        <xdr:cNvSpPr>
          <a:spLocks/>
        </xdr:cNvSpPr>
      </xdr:nvSpPr>
      <xdr:spPr>
        <a:xfrm>
          <a:off x="14773275" y="2809875"/>
          <a:ext cx="419100" cy="361950"/>
        </a:xfrm>
        <a:prstGeom prst="straightConnector1">
          <a:avLst/>
        </a:prstGeom>
        <a:noFill/>
        <a:ln w="3175" cmpd="sng">
          <a:solidFill>
            <a:srgbClr val="4A7EBB"/>
          </a:solidFill>
          <a:prstDash val="sysDash"/>
          <a:headEnd type="oval"/>
          <a:tailEnd type="ova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33</xdr:row>
      <xdr:rowOff>47625</xdr:rowOff>
    </xdr:from>
    <xdr:to>
      <xdr:col>11</xdr:col>
      <xdr:colOff>666750</xdr:colOff>
      <xdr:row>33</xdr:row>
      <xdr:rowOff>247650</xdr:rowOff>
    </xdr:to>
    <xdr:sp>
      <xdr:nvSpPr>
        <xdr:cNvPr id="1" name="AutoShape 7"/>
        <xdr:cNvSpPr>
          <a:spLocks/>
        </xdr:cNvSpPr>
      </xdr:nvSpPr>
      <xdr:spPr>
        <a:xfrm>
          <a:off x="12496800" y="10182225"/>
          <a:ext cx="638175" cy="200025"/>
        </a:xfrm>
        <a:prstGeom prst="rightArrow">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495300</xdr:colOff>
      <xdr:row>0</xdr:row>
      <xdr:rowOff>142875</xdr:rowOff>
    </xdr:from>
    <xdr:to>
      <xdr:col>0</xdr:col>
      <xdr:colOff>1476375</xdr:colOff>
      <xdr:row>0</xdr:row>
      <xdr:rowOff>352425</xdr:rowOff>
    </xdr:to>
    <xdr:sp>
      <xdr:nvSpPr>
        <xdr:cNvPr id="2" name="Text Box 12"/>
        <xdr:cNvSpPr txBox="1">
          <a:spLocks noChangeArrowheads="1"/>
        </xdr:cNvSpPr>
      </xdr:nvSpPr>
      <xdr:spPr>
        <a:xfrm>
          <a:off x="495300" y="142875"/>
          <a:ext cx="981075" cy="209550"/>
        </a:xfrm>
        <a:prstGeom prst="rect">
          <a:avLst/>
        </a:prstGeom>
        <a:solidFill>
          <a:srgbClr val="FF99CC"/>
        </a:solidFill>
        <a:ln w="19050"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Print</a:t>
          </a:r>
        </a:p>
      </xdr:txBody>
    </xdr:sp>
    <xdr:clientData/>
  </xdr:twoCellAnchor>
  <xdr:twoCellAnchor>
    <xdr:from>
      <xdr:col>11</xdr:col>
      <xdr:colOff>47625</xdr:colOff>
      <xdr:row>1</xdr:row>
      <xdr:rowOff>95250</xdr:rowOff>
    </xdr:from>
    <xdr:to>
      <xdr:col>11</xdr:col>
      <xdr:colOff>381000</xdr:colOff>
      <xdr:row>1</xdr:row>
      <xdr:rowOff>323850</xdr:rowOff>
    </xdr:to>
    <xdr:sp>
      <xdr:nvSpPr>
        <xdr:cNvPr id="3" name="Line 48"/>
        <xdr:cNvSpPr>
          <a:spLocks/>
        </xdr:cNvSpPr>
      </xdr:nvSpPr>
      <xdr:spPr>
        <a:xfrm flipV="1">
          <a:off x="12515850" y="523875"/>
          <a:ext cx="333375"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400050</xdr:colOff>
      <xdr:row>1</xdr:row>
      <xdr:rowOff>19050</xdr:rowOff>
    </xdr:from>
    <xdr:to>
      <xdr:col>13</xdr:col>
      <xdr:colOff>704850</xdr:colOff>
      <xdr:row>2</xdr:row>
      <xdr:rowOff>352425</xdr:rowOff>
    </xdr:to>
    <xdr:sp>
      <xdr:nvSpPr>
        <xdr:cNvPr id="4" name="Text Box 50"/>
        <xdr:cNvSpPr txBox="1">
          <a:spLocks noChangeArrowheads="1"/>
        </xdr:cNvSpPr>
      </xdr:nvSpPr>
      <xdr:spPr>
        <a:xfrm>
          <a:off x="12868275" y="523875"/>
          <a:ext cx="3228975" cy="0"/>
        </a:xfrm>
        <a:prstGeom prst="rect">
          <a:avLst/>
        </a:prstGeom>
        <a:solidFill>
          <a:srgbClr val="B7DEE8"/>
        </a:solidFill>
        <a:ln w="22225" cmpd="sng">
          <a:solidFill>
            <a:srgbClr val="0000FF"/>
          </a:solidFill>
          <a:headEnd type="none"/>
          <a:tailEnd type="none"/>
        </a:ln>
      </xdr:spPr>
      <xdr:txBody>
        <a:bodyPr vertOverflow="clip" wrap="square" lIns="27432" tIns="22860" rIns="0" bIns="22860" anchor="ctr"/>
        <a:p>
          <a:pPr algn="l">
            <a:defRPr/>
          </a:pPr>
          <a:r>
            <a:rPr lang="en-US" cap="none" sz="1000" b="0" i="1" u="none" baseline="0">
              <a:solidFill>
                <a:srgbClr val="0000FF"/>
              </a:solidFill>
              <a:latin typeface="Arial"/>
              <a:ea typeface="Arial"/>
              <a:cs typeface="Arial"/>
            </a:rPr>
            <a:t>Nếu muốn sử dụng các nút bấm Macro bên cạnh thì Đọc hướng dẫn kích hoạt tại Sheet </a:t>
          </a:r>
          <a:r>
            <a:rPr lang="en-US" cap="none" sz="1000" b="0" i="1" u="none" baseline="0">
              <a:solidFill>
                <a:srgbClr val="FF00FF"/>
              </a:solidFill>
              <a:latin typeface="Arial"/>
              <a:ea typeface="Arial"/>
              <a:cs typeface="Arial"/>
            </a:rPr>
            <a:t>"Hướng dẫn kích hoạt Macro". </a:t>
          </a:r>
          <a:r>
            <a:rPr lang="en-US" cap="none" sz="1000" b="0" i="1" u="none" baseline="0">
              <a:solidFill>
                <a:srgbClr val="0000FF"/>
              </a:solidFill>
              <a:latin typeface="Arial"/>
              <a:ea typeface="Arial"/>
              <a:cs typeface="Arial"/>
            </a:rPr>
            <a:t>Nếu không có nhu cầu có thể bỏ qua bước này, Bảng tính vẫn hoạt động bình thường</a:t>
          </a:r>
        </a:p>
      </xdr:txBody>
    </xdr:sp>
    <xdr:clientData/>
  </xdr:twoCellAnchor>
  <xdr:twoCellAnchor>
    <xdr:from>
      <xdr:col>11</xdr:col>
      <xdr:colOff>28575</xdr:colOff>
      <xdr:row>39</xdr:row>
      <xdr:rowOff>95250</xdr:rowOff>
    </xdr:from>
    <xdr:to>
      <xdr:col>11</xdr:col>
      <xdr:colOff>666750</xdr:colOff>
      <xdr:row>39</xdr:row>
      <xdr:rowOff>285750</xdr:rowOff>
    </xdr:to>
    <xdr:sp>
      <xdr:nvSpPr>
        <xdr:cNvPr id="5" name="AutoShape 7"/>
        <xdr:cNvSpPr>
          <a:spLocks/>
        </xdr:cNvSpPr>
      </xdr:nvSpPr>
      <xdr:spPr>
        <a:xfrm>
          <a:off x="12496800" y="12115800"/>
          <a:ext cx="638175" cy="190500"/>
        </a:xfrm>
        <a:prstGeom prst="rightArrow">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628650</xdr:colOff>
      <xdr:row>41</xdr:row>
      <xdr:rowOff>171450</xdr:rowOff>
    </xdr:from>
    <xdr:to>
      <xdr:col>10</xdr:col>
      <xdr:colOff>304800</xdr:colOff>
      <xdr:row>65</xdr:row>
      <xdr:rowOff>57150</xdr:rowOff>
    </xdr:to>
    <xdr:pic>
      <xdr:nvPicPr>
        <xdr:cNvPr id="6" name="Picture 477" descr="Tractor-semi trailer(r)"/>
        <xdr:cNvPicPr preferRelativeResize="1">
          <a:picLocks noChangeAspect="1"/>
        </xdr:cNvPicPr>
      </xdr:nvPicPr>
      <xdr:blipFill>
        <a:blip r:embed="rId1"/>
        <a:stretch>
          <a:fillRect/>
        </a:stretch>
      </xdr:blipFill>
      <xdr:spPr>
        <a:xfrm>
          <a:off x="628650" y="12820650"/>
          <a:ext cx="11239500" cy="5829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76200</xdr:rowOff>
    </xdr:from>
    <xdr:to>
      <xdr:col>9</xdr:col>
      <xdr:colOff>314325</xdr:colOff>
      <xdr:row>24</xdr:row>
      <xdr:rowOff>152400</xdr:rowOff>
    </xdr:to>
    <xdr:grpSp>
      <xdr:nvGrpSpPr>
        <xdr:cNvPr id="1" name="Group 94"/>
        <xdr:cNvGrpSpPr>
          <a:grpSpLocks/>
        </xdr:cNvGrpSpPr>
      </xdr:nvGrpSpPr>
      <xdr:grpSpPr>
        <a:xfrm>
          <a:off x="76200" y="1066800"/>
          <a:ext cx="5553075" cy="5105400"/>
          <a:chOff x="76200" y="1071302"/>
          <a:chExt cx="5584099" cy="3388055"/>
        </a:xfrm>
        <a:solidFill>
          <a:srgbClr val="FFFFFF"/>
        </a:solidFill>
      </xdr:grpSpPr>
      <xdr:sp>
        <xdr:nvSpPr>
          <xdr:cNvPr id="2" name="Straight Connector 85"/>
          <xdr:cNvSpPr>
            <a:spLocks/>
          </xdr:cNvSpPr>
        </xdr:nvSpPr>
        <xdr:spPr>
          <a:xfrm>
            <a:off x="3176771" y="3486138"/>
            <a:ext cx="1474202" cy="931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 name="Group 29"/>
          <xdr:cNvGrpSpPr>
            <a:grpSpLocks/>
          </xdr:cNvGrpSpPr>
        </xdr:nvGrpSpPr>
        <xdr:grpSpPr>
          <a:xfrm>
            <a:off x="451731" y="1958125"/>
            <a:ext cx="4516140" cy="934256"/>
            <a:chOff x="5443" y="3039"/>
            <a:chExt cx="1660" cy="742"/>
          </a:xfrm>
          <a:solidFill>
            <a:srgbClr val="FFFFFF"/>
          </a:solidFill>
        </xdr:grpSpPr>
        <xdr:sp>
          <xdr:nvSpPr>
            <xdr:cNvPr id="4" name="Rectangle 30"/>
            <xdr:cNvSpPr>
              <a:spLocks/>
            </xdr:cNvSpPr>
          </xdr:nvSpPr>
          <xdr:spPr>
            <a:xfrm>
              <a:off x="5443" y="3039"/>
              <a:ext cx="1660" cy="742"/>
            </a:xfrm>
            <a:prstGeom prst="rect">
              <a:avLst/>
            </a:prstGeom>
            <a:solidFill>
              <a:srgbClr val="FFFFFF"/>
            </a:solid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31"/>
            <xdr:cNvSpPr>
              <a:spLocks/>
            </xdr:cNvSpPr>
          </xdr:nvSpPr>
          <xdr:spPr>
            <a:xfrm>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32"/>
            <xdr:cNvSpPr>
              <a:spLocks/>
            </xdr:cNvSpPr>
          </xdr:nvSpPr>
          <xdr:spPr>
            <a:xfrm flipV="1">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 name="AutoShape 33"/>
          <xdr:cNvSpPr>
            <a:spLocks/>
          </xdr:cNvSpPr>
        </xdr:nvSpPr>
        <xdr:spPr>
          <a:xfrm>
            <a:off x="3887348" y="1509208"/>
            <a:ext cx="9772" cy="1848184"/>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34"/>
          <xdr:cNvSpPr>
            <a:spLocks/>
          </xdr:cNvSpPr>
        </xdr:nvSpPr>
        <xdr:spPr>
          <a:xfrm rot="16200000" flipH="1">
            <a:off x="2681182" y="1493962"/>
            <a:ext cx="1396" cy="939338"/>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35"/>
          <xdr:cNvSpPr>
            <a:spLocks/>
          </xdr:cNvSpPr>
        </xdr:nvSpPr>
        <xdr:spPr>
          <a:xfrm>
            <a:off x="2682578" y="1676917"/>
            <a:ext cx="1204769"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41"/>
          <xdr:cNvSpPr>
            <a:spLocks/>
          </xdr:cNvSpPr>
        </xdr:nvSpPr>
        <xdr:spPr>
          <a:xfrm>
            <a:off x="716975" y="3138863"/>
            <a:ext cx="150771" cy="132134"/>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42"/>
          <xdr:cNvSpPr>
            <a:spLocks/>
          </xdr:cNvSpPr>
        </xdr:nvSpPr>
        <xdr:spPr>
          <a:xfrm>
            <a:off x="746292" y="3101594"/>
            <a:ext cx="94930" cy="104183"/>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52"/>
          <xdr:cNvSpPr>
            <a:spLocks/>
          </xdr:cNvSpPr>
        </xdr:nvSpPr>
        <xdr:spPr>
          <a:xfrm>
            <a:off x="795153" y="2765330"/>
            <a:ext cx="0" cy="349817"/>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56"/>
          <xdr:cNvSpPr>
            <a:spLocks/>
          </xdr:cNvSpPr>
        </xdr:nvSpPr>
        <xdr:spPr>
          <a:xfrm flipV="1">
            <a:off x="3897120" y="3714832"/>
            <a:ext cx="0" cy="349817"/>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5" name="Group 58"/>
          <xdr:cNvGrpSpPr>
            <a:grpSpLocks/>
          </xdr:cNvGrpSpPr>
        </xdr:nvGrpSpPr>
        <xdr:grpSpPr>
          <a:xfrm>
            <a:off x="3746349" y="3365862"/>
            <a:ext cx="312710" cy="329488"/>
            <a:chOff x="3138" y="2808"/>
            <a:chExt cx="198" cy="198"/>
          </a:xfrm>
          <a:solidFill>
            <a:srgbClr val="FFFFFF"/>
          </a:solidFill>
        </xdr:grpSpPr>
        <xdr:sp>
          <xdr:nvSpPr>
            <xdr:cNvPr id="16" name="Oval 59"/>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60"/>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Line 61"/>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9" name="Group 62"/>
          <xdr:cNvGrpSpPr>
            <a:grpSpLocks/>
          </xdr:cNvGrpSpPr>
        </xdr:nvGrpSpPr>
        <xdr:grpSpPr>
          <a:xfrm>
            <a:off x="4197265" y="3365862"/>
            <a:ext cx="312710" cy="329488"/>
            <a:chOff x="3138" y="2808"/>
            <a:chExt cx="198" cy="198"/>
          </a:xfrm>
          <a:solidFill>
            <a:srgbClr val="FFFFFF"/>
          </a:solidFill>
        </xdr:grpSpPr>
        <xdr:sp>
          <xdr:nvSpPr>
            <xdr:cNvPr id="20" name="Oval 63"/>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Line 64"/>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Line 65"/>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3" name="Group 66"/>
          <xdr:cNvGrpSpPr>
            <a:grpSpLocks/>
          </xdr:cNvGrpSpPr>
        </xdr:nvGrpSpPr>
        <xdr:grpSpPr>
          <a:xfrm>
            <a:off x="3302413" y="3365862"/>
            <a:ext cx="321086" cy="329488"/>
            <a:chOff x="3138" y="2808"/>
            <a:chExt cx="198" cy="198"/>
          </a:xfrm>
          <a:solidFill>
            <a:srgbClr val="FFFFFF"/>
          </a:solidFill>
        </xdr:grpSpPr>
        <xdr:sp>
          <xdr:nvSpPr>
            <xdr:cNvPr id="24" name="Oval 67"/>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Line 68"/>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Line 69"/>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7" name="Text Box 78"/>
          <xdr:cNvSpPr txBox="1">
            <a:spLocks noChangeArrowheads="1"/>
          </xdr:cNvSpPr>
        </xdr:nvSpPr>
        <xdr:spPr>
          <a:xfrm>
            <a:off x="2382433" y="2492591"/>
            <a:ext cx="295957" cy="184649"/>
          </a:xfrm>
          <a:prstGeom prst="rect">
            <a:avLst/>
          </a:prstGeom>
          <a:noFill/>
          <a:ln w="9525" cmpd="sng">
            <a:noFill/>
          </a:ln>
        </xdr:spPr>
        <xdr:txBody>
          <a:bodyPr vertOverflow="clip" wrap="square" lIns="18000" tIns="10800" rIns="18000" bIns="10800"/>
          <a:p>
            <a:pPr algn="l">
              <a:defRPr/>
            </a:pPr>
            <a:r>
              <a:rPr lang="en-US" cap="none" sz="1000" b="1" i="0" u="none" baseline="0">
                <a:solidFill>
                  <a:srgbClr val="000000"/>
                </a:solidFill>
              </a:rPr>
              <a:t>Q
</a:t>
            </a:r>
          </a:p>
        </xdr:txBody>
      </xdr:sp>
      <xdr:sp>
        <xdr:nvSpPr>
          <xdr:cNvPr id="28" name="AutoShape 79"/>
          <xdr:cNvSpPr>
            <a:spLocks/>
          </xdr:cNvSpPr>
        </xdr:nvSpPr>
        <xdr:spPr>
          <a:xfrm rot="5400000">
            <a:off x="-612039" y="2034357"/>
            <a:ext cx="1927910" cy="2541"/>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80"/>
          <xdr:cNvSpPr>
            <a:spLocks/>
          </xdr:cNvSpPr>
        </xdr:nvSpPr>
        <xdr:spPr>
          <a:xfrm rot="16200000" flipH="1">
            <a:off x="5078157" y="1106877"/>
            <a:ext cx="1396" cy="1982859"/>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82"/>
          <xdr:cNvSpPr>
            <a:spLocks/>
          </xdr:cNvSpPr>
        </xdr:nvSpPr>
        <xdr:spPr>
          <a:xfrm>
            <a:off x="359593" y="1216141"/>
            <a:ext cx="4714376" cy="8470"/>
          </a:xfrm>
          <a:prstGeom prst="straightConnector1">
            <a:avLst/>
          </a:prstGeom>
          <a:noFill/>
          <a:ln w="317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Straight Connector 59"/>
          <xdr:cNvSpPr>
            <a:spLocks/>
          </xdr:cNvSpPr>
        </xdr:nvSpPr>
        <xdr:spPr>
          <a:xfrm>
            <a:off x="401474" y="3709750"/>
            <a:ext cx="4669703" cy="931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Straight Connector 61"/>
          <xdr:cNvSpPr>
            <a:spLocks/>
          </xdr:cNvSpPr>
        </xdr:nvSpPr>
        <xdr:spPr>
          <a:xfrm rot="16200000" flipH="1">
            <a:off x="401474" y="3115993"/>
            <a:ext cx="0" cy="98338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Straight Connector 62"/>
          <xdr:cNvSpPr>
            <a:spLocks/>
          </xdr:cNvSpPr>
        </xdr:nvSpPr>
        <xdr:spPr>
          <a:xfrm rot="16200000" flipH="1">
            <a:off x="793757" y="3271844"/>
            <a:ext cx="0" cy="82753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Straight Connector 63"/>
          <xdr:cNvSpPr>
            <a:spLocks/>
          </xdr:cNvSpPr>
        </xdr:nvSpPr>
        <xdr:spPr>
          <a:xfrm rot="5400000">
            <a:off x="4430401" y="3865600"/>
            <a:ext cx="1188017"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Straight Connector 64"/>
          <xdr:cNvSpPr>
            <a:spLocks/>
          </xdr:cNvSpPr>
        </xdr:nvSpPr>
        <xdr:spPr>
          <a:xfrm rot="16200000" flipH="1">
            <a:off x="3894328" y="3924044"/>
            <a:ext cx="0" cy="535313"/>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Straight Arrow Connector 68"/>
          <xdr:cNvSpPr>
            <a:spLocks/>
          </xdr:cNvSpPr>
        </xdr:nvSpPr>
        <xdr:spPr>
          <a:xfrm>
            <a:off x="832845" y="4001970"/>
            <a:ext cx="2584042" cy="9317"/>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Straight Arrow Connector 70"/>
          <xdr:cNvSpPr>
            <a:spLocks/>
          </xdr:cNvSpPr>
        </xdr:nvSpPr>
        <xdr:spPr>
          <a:xfrm>
            <a:off x="401474" y="4011287"/>
            <a:ext cx="372739"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Straight Arrow Connector 72"/>
          <xdr:cNvSpPr>
            <a:spLocks/>
          </xdr:cNvSpPr>
        </xdr:nvSpPr>
        <xdr:spPr>
          <a:xfrm>
            <a:off x="3913872" y="4352633"/>
            <a:ext cx="110984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Straight Connector 75"/>
          <xdr:cNvSpPr>
            <a:spLocks/>
          </xdr:cNvSpPr>
        </xdr:nvSpPr>
        <xdr:spPr>
          <a:xfrm rot="5400000">
            <a:off x="3264721" y="3909645"/>
            <a:ext cx="360174"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Connector 76"/>
          <xdr:cNvSpPr>
            <a:spLocks/>
          </xdr:cNvSpPr>
        </xdr:nvSpPr>
        <xdr:spPr>
          <a:xfrm rot="5400000">
            <a:off x="4183305" y="3899481"/>
            <a:ext cx="360174"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78"/>
          <xdr:cNvSpPr>
            <a:spLocks/>
          </xdr:cNvSpPr>
        </xdr:nvSpPr>
        <xdr:spPr>
          <a:xfrm>
            <a:off x="3472728" y="4011287"/>
            <a:ext cx="38251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79"/>
          <xdr:cNvSpPr>
            <a:spLocks/>
          </xdr:cNvSpPr>
        </xdr:nvSpPr>
        <xdr:spPr>
          <a:xfrm>
            <a:off x="3913872" y="4011287"/>
            <a:ext cx="44952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Connector 87"/>
          <xdr:cNvSpPr>
            <a:spLocks/>
          </xdr:cNvSpPr>
        </xdr:nvSpPr>
        <xdr:spPr>
          <a:xfrm rot="16200000" flipH="1">
            <a:off x="3119534" y="3252362"/>
            <a:ext cx="67009" cy="23377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Connector 89"/>
          <xdr:cNvSpPr>
            <a:spLocks/>
          </xdr:cNvSpPr>
        </xdr:nvSpPr>
        <xdr:spPr>
          <a:xfrm rot="5400000">
            <a:off x="4567212" y="3344687"/>
            <a:ext cx="242908" cy="5759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Rectangle 45"/>
          <xdr:cNvSpPr>
            <a:spLocks/>
          </xdr:cNvSpPr>
        </xdr:nvSpPr>
        <xdr:spPr>
          <a:xfrm>
            <a:off x="354009" y="2979624"/>
            <a:ext cx="47465" cy="7792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Rectangle 46"/>
          <xdr:cNvSpPr>
            <a:spLocks/>
          </xdr:cNvSpPr>
        </xdr:nvSpPr>
        <xdr:spPr>
          <a:xfrm>
            <a:off x="5033484" y="3066866"/>
            <a:ext cx="47465" cy="7792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Connector 52"/>
          <xdr:cNvSpPr>
            <a:spLocks/>
          </xdr:cNvSpPr>
        </xdr:nvSpPr>
        <xdr:spPr>
          <a:xfrm rot="16200000" flipH="1">
            <a:off x="354009" y="3047385"/>
            <a:ext cx="9772" cy="105114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Straight Arrow Connector 54"/>
          <xdr:cNvSpPr>
            <a:spLocks/>
          </xdr:cNvSpPr>
        </xdr:nvSpPr>
        <xdr:spPr>
          <a:xfrm flipV="1">
            <a:off x="76200" y="4011287"/>
            <a:ext cx="287581" cy="9317"/>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Straight Connector 58"/>
          <xdr:cNvSpPr>
            <a:spLocks/>
          </xdr:cNvSpPr>
        </xdr:nvSpPr>
        <xdr:spPr>
          <a:xfrm rot="5400000">
            <a:off x="4501598" y="3724149"/>
            <a:ext cx="115870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Straight Arrow Connector 60"/>
          <xdr:cNvSpPr>
            <a:spLocks/>
          </xdr:cNvSpPr>
        </xdr:nvSpPr>
        <xdr:spPr>
          <a:xfrm>
            <a:off x="5080949" y="4021451"/>
            <a:ext cx="23872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Straight Arrow Connector 66"/>
          <xdr:cNvSpPr>
            <a:spLocks/>
          </xdr:cNvSpPr>
        </xdr:nvSpPr>
        <xdr:spPr>
          <a:xfrm>
            <a:off x="4784991" y="4021451"/>
            <a:ext cx="23872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Straight Connector 69"/>
          <xdr:cNvSpPr>
            <a:spLocks/>
          </xdr:cNvSpPr>
        </xdr:nvSpPr>
        <xdr:spPr>
          <a:xfrm>
            <a:off x="334465" y="4021451"/>
            <a:ext cx="865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Straight Connector 83"/>
          <xdr:cNvSpPr>
            <a:spLocks/>
          </xdr:cNvSpPr>
        </xdr:nvSpPr>
        <xdr:spPr>
          <a:xfrm>
            <a:off x="5004167" y="4021451"/>
            <a:ext cx="9632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152400</xdr:rowOff>
    </xdr:from>
    <xdr:to>
      <xdr:col>9</xdr:col>
      <xdr:colOff>295275</xdr:colOff>
      <xdr:row>24</xdr:row>
      <xdr:rowOff>133350</xdr:rowOff>
    </xdr:to>
    <xdr:grpSp>
      <xdr:nvGrpSpPr>
        <xdr:cNvPr id="1" name="Group 52"/>
        <xdr:cNvGrpSpPr>
          <a:grpSpLocks/>
        </xdr:cNvGrpSpPr>
      </xdr:nvGrpSpPr>
      <xdr:grpSpPr>
        <a:xfrm>
          <a:off x="66675" y="981075"/>
          <a:ext cx="5553075" cy="5172075"/>
          <a:chOff x="66260" y="981074"/>
          <a:chExt cx="5550967" cy="3381221"/>
        </a:xfrm>
        <a:solidFill>
          <a:srgbClr val="FFFFFF"/>
        </a:solidFill>
      </xdr:grpSpPr>
      <xdr:sp>
        <xdr:nvSpPr>
          <xdr:cNvPr id="2" name="Straight Connector 2"/>
          <xdr:cNvSpPr>
            <a:spLocks/>
          </xdr:cNvSpPr>
        </xdr:nvSpPr>
        <xdr:spPr>
          <a:xfrm>
            <a:off x="3170638" y="3429078"/>
            <a:ext cx="1457129" cy="929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 name="Group 29"/>
          <xdr:cNvGrpSpPr>
            <a:grpSpLocks/>
          </xdr:cNvGrpSpPr>
        </xdr:nvGrpSpPr>
        <xdr:grpSpPr>
          <a:xfrm>
            <a:off x="457603" y="1937114"/>
            <a:ext cx="4489345" cy="910394"/>
            <a:chOff x="5443" y="3039"/>
            <a:chExt cx="1660" cy="742"/>
          </a:xfrm>
          <a:solidFill>
            <a:srgbClr val="FFFFFF"/>
          </a:solidFill>
        </xdr:grpSpPr>
        <xdr:sp>
          <xdr:nvSpPr>
            <xdr:cNvPr id="4" name="Rectangle 30"/>
            <xdr:cNvSpPr>
              <a:spLocks/>
            </xdr:cNvSpPr>
          </xdr:nvSpPr>
          <xdr:spPr>
            <a:xfrm>
              <a:off x="5443" y="3039"/>
              <a:ext cx="1660" cy="742"/>
            </a:xfrm>
            <a:prstGeom prst="rect">
              <a:avLst/>
            </a:prstGeom>
            <a:solidFill>
              <a:srgbClr val="FFFFFF"/>
            </a:solid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31"/>
            <xdr:cNvSpPr>
              <a:spLocks/>
            </xdr:cNvSpPr>
          </xdr:nvSpPr>
          <xdr:spPr>
            <a:xfrm>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32"/>
            <xdr:cNvSpPr>
              <a:spLocks/>
            </xdr:cNvSpPr>
          </xdr:nvSpPr>
          <xdr:spPr>
            <a:xfrm flipV="1">
              <a:off x="5443" y="3039"/>
              <a:ext cx="1660" cy="742"/>
            </a:xfrm>
            <a:prstGeom prst="straightConnector1">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 name="AutoShape 33"/>
          <xdr:cNvSpPr>
            <a:spLocks/>
          </xdr:cNvSpPr>
        </xdr:nvSpPr>
        <xdr:spPr>
          <a:xfrm>
            <a:off x="3874223" y="1494174"/>
            <a:ext cx="9714" cy="1806417"/>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34"/>
          <xdr:cNvSpPr>
            <a:spLocks/>
          </xdr:cNvSpPr>
        </xdr:nvSpPr>
        <xdr:spPr>
          <a:xfrm rot="16200000" flipH="1">
            <a:off x="2675214" y="1478959"/>
            <a:ext cx="1388" cy="921383"/>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35"/>
          <xdr:cNvSpPr>
            <a:spLocks/>
          </xdr:cNvSpPr>
        </xdr:nvSpPr>
        <xdr:spPr>
          <a:xfrm>
            <a:off x="2676602" y="1658164"/>
            <a:ext cx="119762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41"/>
          <xdr:cNvSpPr>
            <a:spLocks/>
          </xdr:cNvSpPr>
        </xdr:nvSpPr>
        <xdr:spPr>
          <a:xfrm>
            <a:off x="722662" y="3091801"/>
            <a:ext cx="151264" cy="128486"/>
          </a:xfrm>
          <a:prstGeom prst="flowChartExtra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42"/>
          <xdr:cNvSpPr>
            <a:spLocks/>
          </xdr:cNvSpPr>
        </xdr:nvSpPr>
        <xdr:spPr>
          <a:xfrm>
            <a:off x="751804" y="3052917"/>
            <a:ext cx="94366" cy="99746"/>
          </a:xfrm>
          <a:prstGeom prst="ellipse">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52"/>
          <xdr:cNvSpPr>
            <a:spLocks/>
          </xdr:cNvSpPr>
        </xdr:nvSpPr>
        <xdr:spPr>
          <a:xfrm>
            <a:off x="801763" y="2724939"/>
            <a:ext cx="0" cy="342349"/>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4" name="Group 58"/>
          <xdr:cNvGrpSpPr>
            <a:grpSpLocks/>
          </xdr:cNvGrpSpPr>
        </xdr:nvGrpSpPr>
        <xdr:grpSpPr>
          <a:xfrm>
            <a:off x="3942223" y="3309890"/>
            <a:ext cx="312242" cy="322061"/>
            <a:chOff x="3138" y="2808"/>
            <a:chExt cx="198" cy="198"/>
          </a:xfrm>
          <a:solidFill>
            <a:srgbClr val="FFFFFF"/>
          </a:solidFill>
        </xdr:grpSpPr>
        <xdr:sp>
          <xdr:nvSpPr>
            <xdr:cNvPr id="15" name="Oval 59"/>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Line 60"/>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61"/>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8" name="Group 66"/>
          <xdr:cNvGrpSpPr>
            <a:grpSpLocks/>
          </xdr:cNvGrpSpPr>
        </xdr:nvGrpSpPr>
        <xdr:grpSpPr>
          <a:xfrm>
            <a:off x="3502309" y="3309890"/>
            <a:ext cx="316405" cy="322061"/>
            <a:chOff x="3138" y="2808"/>
            <a:chExt cx="198" cy="198"/>
          </a:xfrm>
          <a:solidFill>
            <a:srgbClr val="FFFFFF"/>
          </a:solidFill>
        </xdr:grpSpPr>
        <xdr:sp>
          <xdr:nvSpPr>
            <xdr:cNvPr id="19" name="Oval 67"/>
            <xdr:cNvSpPr>
              <a:spLocks/>
            </xdr:cNvSpPr>
          </xdr:nvSpPr>
          <xdr:spPr>
            <a:xfrm>
              <a:off x="3138" y="2808"/>
              <a:ext cx="198" cy="198"/>
            </a:xfrm>
            <a:prstGeom prst="ellipse">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68"/>
            <xdr:cNvSpPr>
              <a:spLocks/>
            </xdr:cNvSpPr>
          </xdr:nvSpPr>
          <xdr:spPr>
            <a:xfrm>
              <a:off x="3210" y="2904"/>
              <a:ext cx="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Line 69"/>
            <xdr:cNvSpPr>
              <a:spLocks/>
            </xdr:cNvSpPr>
          </xdr:nvSpPr>
          <xdr:spPr>
            <a:xfrm>
              <a:off x="3234" y="2874"/>
              <a:ext cx="0" cy="6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22" name="Text Box 78"/>
          <xdr:cNvSpPr txBox="1">
            <a:spLocks noChangeArrowheads="1"/>
          </xdr:cNvSpPr>
        </xdr:nvSpPr>
        <xdr:spPr>
          <a:xfrm>
            <a:off x="2379625" y="2456977"/>
            <a:ext cx="295589" cy="180895"/>
          </a:xfrm>
          <a:prstGeom prst="rect">
            <a:avLst/>
          </a:prstGeom>
          <a:noFill/>
          <a:ln w="9525" cmpd="sng">
            <a:noFill/>
          </a:ln>
        </xdr:spPr>
        <xdr:txBody>
          <a:bodyPr vertOverflow="clip" wrap="square" lIns="18000" tIns="10800" rIns="18000" bIns="10800"/>
          <a:p>
            <a:pPr algn="l">
              <a:defRPr/>
            </a:pPr>
            <a:r>
              <a:rPr lang="en-US" cap="none" sz="1000" b="1" i="0" u="none" baseline="0">
                <a:solidFill>
                  <a:srgbClr val="000000"/>
                </a:solidFill>
              </a:rPr>
              <a:t>Q
</a:t>
            </a:r>
          </a:p>
        </xdr:txBody>
      </xdr:sp>
      <xdr:sp>
        <xdr:nvSpPr>
          <xdr:cNvPr id="23" name="AutoShape 79"/>
          <xdr:cNvSpPr>
            <a:spLocks/>
          </xdr:cNvSpPr>
        </xdr:nvSpPr>
        <xdr:spPr>
          <a:xfrm rot="5400000">
            <a:off x="-628998" y="1956556"/>
            <a:ext cx="1959491" cy="9298"/>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AutoShape 80"/>
          <xdr:cNvSpPr>
            <a:spLocks/>
          </xdr:cNvSpPr>
        </xdr:nvSpPr>
        <xdr:spPr>
          <a:xfrm rot="16200000" flipH="1">
            <a:off x="5042702" y="1050389"/>
            <a:ext cx="8326" cy="1991539"/>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5" name="AutoShape 82"/>
          <xdr:cNvSpPr>
            <a:spLocks/>
          </xdr:cNvSpPr>
        </xdr:nvSpPr>
        <xdr:spPr>
          <a:xfrm>
            <a:off x="350747" y="1209306"/>
            <a:ext cx="4687792" cy="2536"/>
          </a:xfrm>
          <a:prstGeom prst="straightConnector1">
            <a:avLst/>
          </a:prstGeom>
          <a:noFill/>
          <a:ln w="317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Straight Connector 19"/>
          <xdr:cNvSpPr>
            <a:spLocks/>
          </xdr:cNvSpPr>
        </xdr:nvSpPr>
        <xdr:spPr>
          <a:xfrm>
            <a:off x="409032" y="3648012"/>
            <a:ext cx="4636445" cy="929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Straight Connector 20"/>
          <xdr:cNvSpPr>
            <a:spLocks/>
          </xdr:cNvSpPr>
        </xdr:nvSpPr>
        <xdr:spPr>
          <a:xfrm rot="16200000" flipH="1">
            <a:off x="399318" y="3105326"/>
            <a:ext cx="9714" cy="923919"/>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Straight Connector 21"/>
          <xdr:cNvSpPr>
            <a:spLocks/>
          </xdr:cNvSpPr>
        </xdr:nvSpPr>
        <xdr:spPr>
          <a:xfrm rot="16200000" flipH="1">
            <a:off x="798988" y="3219442"/>
            <a:ext cx="0" cy="809802"/>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Straight Connector 22"/>
          <xdr:cNvSpPr>
            <a:spLocks/>
          </xdr:cNvSpPr>
        </xdr:nvSpPr>
        <xdr:spPr>
          <a:xfrm rot="5400000">
            <a:off x="4432096" y="3795940"/>
            <a:ext cx="113378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Straight Connector 23"/>
          <xdr:cNvSpPr>
            <a:spLocks/>
          </xdr:cNvSpPr>
        </xdr:nvSpPr>
        <xdr:spPr>
          <a:xfrm rot="16200000" flipH="1">
            <a:off x="3883938" y="4000504"/>
            <a:ext cx="9714" cy="361791"/>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Straight Arrow Connector 24"/>
          <xdr:cNvSpPr>
            <a:spLocks/>
          </xdr:cNvSpPr>
        </xdr:nvSpPr>
        <xdr:spPr>
          <a:xfrm>
            <a:off x="837844" y="3933725"/>
            <a:ext cx="2828218" cy="9298"/>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Straight Arrow Connector 25"/>
          <xdr:cNvSpPr>
            <a:spLocks/>
          </xdr:cNvSpPr>
        </xdr:nvSpPr>
        <xdr:spPr>
          <a:xfrm>
            <a:off x="399318" y="3943024"/>
            <a:ext cx="38024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Straight Arrow Connector 26"/>
          <xdr:cNvSpPr>
            <a:spLocks/>
          </xdr:cNvSpPr>
        </xdr:nvSpPr>
        <xdr:spPr>
          <a:xfrm>
            <a:off x="3903366" y="4276919"/>
            <a:ext cx="1094928"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Straight Connector 27"/>
          <xdr:cNvSpPr>
            <a:spLocks/>
          </xdr:cNvSpPr>
        </xdr:nvSpPr>
        <xdr:spPr>
          <a:xfrm rot="5400000">
            <a:off x="3498145" y="3843278"/>
            <a:ext cx="352486"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Straight Connector 28"/>
          <xdr:cNvSpPr>
            <a:spLocks/>
          </xdr:cNvSpPr>
        </xdr:nvSpPr>
        <xdr:spPr>
          <a:xfrm rot="5400000">
            <a:off x="3926958" y="3833979"/>
            <a:ext cx="352486" cy="0"/>
          </a:xfrm>
          <a:prstGeom prst="line">
            <a:avLst/>
          </a:prstGeom>
          <a:noFill/>
          <a:ln w="31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Straight Arrow Connector 30"/>
          <xdr:cNvSpPr>
            <a:spLocks/>
          </xdr:cNvSpPr>
        </xdr:nvSpPr>
        <xdr:spPr>
          <a:xfrm>
            <a:off x="3693817" y="3943024"/>
            <a:ext cx="380241"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Straight Connector 33"/>
          <xdr:cNvSpPr>
            <a:spLocks/>
          </xdr:cNvSpPr>
        </xdr:nvSpPr>
        <xdr:spPr>
          <a:xfrm rot="16200000" flipH="1">
            <a:off x="3104027" y="3200000"/>
            <a:ext cx="76326" cy="22823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Straight Connector 34"/>
          <xdr:cNvSpPr>
            <a:spLocks/>
          </xdr:cNvSpPr>
        </xdr:nvSpPr>
        <xdr:spPr>
          <a:xfrm rot="5400000">
            <a:off x="4545890" y="3290448"/>
            <a:ext cx="238692" cy="5748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Rectangle 39"/>
          <xdr:cNvSpPr>
            <a:spLocks/>
          </xdr:cNvSpPr>
        </xdr:nvSpPr>
        <xdr:spPr>
          <a:xfrm>
            <a:off x="352135" y="2933729"/>
            <a:ext cx="47183" cy="66779"/>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Rectangle 40"/>
          <xdr:cNvSpPr>
            <a:spLocks/>
          </xdr:cNvSpPr>
        </xdr:nvSpPr>
        <xdr:spPr>
          <a:xfrm>
            <a:off x="4998294" y="3019105"/>
            <a:ext cx="47183" cy="76077"/>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Connector 45"/>
          <xdr:cNvSpPr>
            <a:spLocks/>
          </xdr:cNvSpPr>
        </xdr:nvSpPr>
        <xdr:spPr>
          <a:xfrm rot="16200000" flipH="1">
            <a:off x="342421" y="3019105"/>
            <a:ext cx="9714" cy="1009294"/>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46"/>
          <xdr:cNvSpPr>
            <a:spLocks/>
          </xdr:cNvSpPr>
        </xdr:nvSpPr>
        <xdr:spPr>
          <a:xfrm flipV="1">
            <a:off x="66260" y="3943024"/>
            <a:ext cx="285875" cy="929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Connector 47"/>
          <xdr:cNvSpPr>
            <a:spLocks/>
          </xdr:cNvSpPr>
        </xdr:nvSpPr>
        <xdr:spPr>
          <a:xfrm rot="5400000">
            <a:off x="4493156" y="3571935"/>
            <a:ext cx="1124071"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48"/>
          <xdr:cNvSpPr>
            <a:spLocks/>
          </xdr:cNvSpPr>
        </xdr:nvSpPr>
        <xdr:spPr>
          <a:xfrm>
            <a:off x="5045477" y="3952322"/>
            <a:ext cx="238692"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Straight Connector 49"/>
          <xdr:cNvSpPr>
            <a:spLocks/>
          </xdr:cNvSpPr>
        </xdr:nvSpPr>
        <xdr:spPr>
          <a:xfrm>
            <a:off x="322992" y="3943024"/>
            <a:ext cx="957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Straight Connector 50"/>
          <xdr:cNvSpPr>
            <a:spLocks/>
          </xdr:cNvSpPr>
        </xdr:nvSpPr>
        <xdr:spPr>
          <a:xfrm>
            <a:off x="4978866" y="3952322"/>
            <a:ext cx="9575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Arrow Connector 51"/>
          <xdr:cNvSpPr>
            <a:spLocks/>
          </xdr:cNvSpPr>
        </xdr:nvSpPr>
        <xdr:spPr>
          <a:xfrm>
            <a:off x="4759603" y="3952322"/>
            <a:ext cx="23869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39"/>
  <sheetViews>
    <sheetView tabSelected="1" workbookViewId="0" topLeftCell="A19">
      <selection activeCell="F14" sqref="F14"/>
    </sheetView>
  </sheetViews>
  <sheetFormatPr defaultColWidth="0" defaultRowHeight="12.75" zeroHeight="1"/>
  <cols>
    <col min="1" max="1" width="16.140625" style="290" customWidth="1"/>
    <col min="2" max="2" width="9.140625" style="290" customWidth="1"/>
    <col min="3" max="3" width="11.140625" style="290" customWidth="1"/>
    <col min="4" max="4" width="10.421875" style="290" customWidth="1"/>
    <col min="5" max="5" width="11.421875" style="290" customWidth="1"/>
    <col min="6" max="6" width="13.7109375" style="290" customWidth="1"/>
    <col min="7" max="7" width="13.28125" style="290" customWidth="1"/>
    <col min="8" max="8" width="10.57421875" style="290" customWidth="1"/>
    <col min="9" max="9" width="10.7109375" style="290" customWidth="1"/>
    <col min="10" max="10" width="11.57421875" style="290" customWidth="1"/>
    <col min="11" max="11" width="12.421875" style="290" customWidth="1"/>
    <col min="12" max="12" width="13.28125" style="290" customWidth="1"/>
    <col min="13" max="13" width="7.7109375" style="0" customWidth="1"/>
    <col min="14" max="14" width="6.8515625" style="0" customWidth="1"/>
    <col min="15" max="15" width="5.140625" style="290" customWidth="1"/>
    <col min="16" max="24" width="9.140625" style="282" customWidth="1"/>
    <col min="25" max="16384" width="0" style="282" hidden="1" customWidth="1"/>
  </cols>
  <sheetData>
    <row r="1" spans="1:14" ht="18.75" customHeight="1" thickBot="1">
      <c r="A1" s="312"/>
      <c r="B1" s="312"/>
      <c r="C1" s="312"/>
      <c r="D1" s="312"/>
      <c r="E1" s="312"/>
      <c r="F1" s="312"/>
      <c r="G1" s="312"/>
      <c r="H1" s="312"/>
      <c r="I1" s="312"/>
      <c r="J1" s="312"/>
      <c r="K1" s="312"/>
      <c r="L1" s="312"/>
      <c r="M1" s="285"/>
      <c r="N1" s="285"/>
    </row>
    <row r="2" spans="1:23" s="283" customFormat="1" ht="29.25" customHeight="1" thickBot="1">
      <c r="A2" s="320" t="s">
        <v>224</v>
      </c>
      <c r="B2" s="321"/>
      <c r="C2" s="321"/>
      <c r="D2" s="321"/>
      <c r="E2" s="321"/>
      <c r="F2" s="321"/>
      <c r="G2" s="321"/>
      <c r="H2" s="321"/>
      <c r="I2" s="321"/>
      <c r="J2" s="321"/>
      <c r="K2" s="321"/>
      <c r="L2" s="321"/>
      <c r="M2" s="321"/>
      <c r="N2" s="322"/>
      <c r="O2" s="290"/>
      <c r="P2" s="356" t="s">
        <v>115</v>
      </c>
      <c r="Q2" s="356"/>
      <c r="R2" s="356"/>
      <c r="S2" s="356"/>
      <c r="T2" s="356"/>
      <c r="U2" s="356"/>
      <c r="V2" s="356"/>
      <c r="W2" s="356"/>
    </row>
    <row r="3" spans="1:23" s="283" customFormat="1" ht="18.75" customHeight="1">
      <c r="A3" s="313" t="s">
        <v>28</v>
      </c>
      <c r="B3" s="314"/>
      <c r="C3" s="314"/>
      <c r="D3" s="314"/>
      <c r="E3" s="314"/>
      <c r="F3" s="314"/>
      <c r="G3" s="306" t="s">
        <v>117</v>
      </c>
      <c r="H3" s="306"/>
      <c r="I3" s="306"/>
      <c r="J3" s="306"/>
      <c r="K3" s="306"/>
      <c r="L3" s="306"/>
      <c r="M3" s="306"/>
      <c r="N3" s="307"/>
      <c r="O3" s="290"/>
      <c r="P3" s="357"/>
      <c r="Q3" s="357"/>
      <c r="R3" s="357"/>
      <c r="S3" s="357"/>
      <c r="T3" s="357"/>
      <c r="U3" s="357"/>
      <c r="V3" s="357"/>
      <c r="W3" s="357"/>
    </row>
    <row r="4" spans="1:23" s="283" customFormat="1" ht="18" customHeight="1" thickBot="1">
      <c r="A4" s="363"/>
      <c r="B4" s="364"/>
      <c r="C4" s="141"/>
      <c r="D4" s="301" t="s">
        <v>127</v>
      </c>
      <c r="E4" s="365" t="s">
        <v>128</v>
      </c>
      <c r="F4" s="366"/>
      <c r="G4" s="302" t="s">
        <v>26</v>
      </c>
      <c r="H4" s="308" t="s">
        <v>27</v>
      </c>
      <c r="I4" s="308"/>
      <c r="J4" s="308"/>
      <c r="K4" s="308"/>
      <c r="L4" s="308"/>
      <c r="M4" s="308"/>
      <c r="N4" s="309"/>
      <c r="O4" s="290"/>
      <c r="P4" s="357"/>
      <c r="Q4" s="357"/>
      <c r="R4" s="357"/>
      <c r="S4" s="357"/>
      <c r="T4" s="357"/>
      <c r="U4" s="357"/>
      <c r="V4" s="357"/>
      <c r="W4" s="357"/>
    </row>
    <row r="5" spans="1:23" ht="15.75" customHeight="1" thickBot="1">
      <c r="A5" s="389" t="s">
        <v>223</v>
      </c>
      <c r="B5" s="389"/>
      <c r="C5" s="389"/>
      <c r="D5" s="389"/>
      <c r="E5" s="389"/>
      <c r="F5" s="389"/>
      <c r="G5" s="389"/>
      <c r="H5" s="389"/>
      <c r="I5" s="389"/>
      <c r="J5" s="389"/>
      <c r="K5" s="389"/>
      <c r="L5" s="389"/>
      <c r="M5" s="286"/>
      <c r="N5" s="286"/>
      <c r="P5" s="357"/>
      <c r="Q5" s="357"/>
      <c r="R5" s="357"/>
      <c r="S5" s="357"/>
      <c r="T5" s="357"/>
      <c r="U5" s="357"/>
      <c r="V5" s="357"/>
      <c r="W5" s="357"/>
    </row>
    <row r="6" spans="1:23" ht="30.75" customHeight="1">
      <c r="A6" s="359" t="s">
        <v>141</v>
      </c>
      <c r="B6" s="360"/>
      <c r="C6" s="360"/>
      <c r="D6" s="360"/>
      <c r="E6" s="360"/>
      <c r="F6" s="360"/>
      <c r="G6" s="360"/>
      <c r="H6" s="360"/>
      <c r="I6" s="360"/>
      <c r="J6" s="360"/>
      <c r="K6" s="360"/>
      <c r="L6" s="360"/>
      <c r="M6" s="360"/>
      <c r="N6" s="361"/>
      <c r="P6" s="357"/>
      <c r="Q6" s="357"/>
      <c r="R6" s="357"/>
      <c r="S6" s="357"/>
      <c r="T6" s="357"/>
      <c r="U6" s="357"/>
      <c r="V6" s="357"/>
      <c r="W6" s="357"/>
    </row>
    <row r="7" spans="1:23" ht="69.75" customHeight="1">
      <c r="A7" s="319" t="s">
        <v>6</v>
      </c>
      <c r="B7" s="390" t="s">
        <v>2</v>
      </c>
      <c r="C7" s="341" t="s">
        <v>163</v>
      </c>
      <c r="D7" s="342"/>
      <c r="E7" s="342"/>
      <c r="F7" s="343"/>
      <c r="G7" s="344" t="s">
        <v>132</v>
      </c>
      <c r="H7" s="345" t="s">
        <v>114</v>
      </c>
      <c r="I7" s="345"/>
      <c r="J7" s="351" t="s">
        <v>151</v>
      </c>
      <c r="K7" s="351"/>
      <c r="L7" s="352"/>
      <c r="M7" s="352" t="s">
        <v>158</v>
      </c>
      <c r="N7" s="362"/>
      <c r="P7" s="357"/>
      <c r="Q7" s="357"/>
      <c r="R7" s="357"/>
      <c r="S7" s="357"/>
      <c r="T7" s="357"/>
      <c r="U7" s="357"/>
      <c r="V7" s="357"/>
      <c r="W7" s="357"/>
    </row>
    <row r="8" spans="1:23" ht="92.25" customHeight="1">
      <c r="A8" s="319"/>
      <c r="B8" s="390"/>
      <c r="C8" s="3" t="s">
        <v>131</v>
      </c>
      <c r="D8" s="3" t="s">
        <v>12</v>
      </c>
      <c r="E8" s="3" t="s">
        <v>162</v>
      </c>
      <c r="F8" s="3" t="s">
        <v>161</v>
      </c>
      <c r="G8" s="344"/>
      <c r="H8" s="1" t="s">
        <v>7</v>
      </c>
      <c r="I8" s="1" t="s">
        <v>8</v>
      </c>
      <c r="J8" s="2" t="s">
        <v>9</v>
      </c>
      <c r="K8" s="2" t="s">
        <v>10</v>
      </c>
      <c r="L8" s="151" t="s">
        <v>11</v>
      </c>
      <c r="M8" s="2" t="s">
        <v>159</v>
      </c>
      <c r="N8" s="132" t="s">
        <v>222</v>
      </c>
      <c r="O8" s="303"/>
      <c r="P8" s="357"/>
      <c r="Q8" s="357"/>
      <c r="R8" s="357"/>
      <c r="S8" s="357"/>
      <c r="T8" s="357"/>
      <c r="U8" s="357"/>
      <c r="V8" s="357"/>
      <c r="W8" s="357"/>
    </row>
    <row r="9" spans="1:23" ht="35.25" customHeight="1" thickBot="1">
      <c r="A9" s="133" t="s">
        <v>164</v>
      </c>
      <c r="B9" s="134">
        <v>2</v>
      </c>
      <c r="C9" s="134">
        <v>10075</v>
      </c>
      <c r="D9" s="134">
        <v>4790</v>
      </c>
      <c r="E9" s="134">
        <v>900</v>
      </c>
      <c r="F9" s="134">
        <v>12400</v>
      </c>
      <c r="G9" s="134">
        <v>33560</v>
      </c>
      <c r="H9" s="134">
        <v>1030</v>
      </c>
      <c r="I9" s="134">
        <v>2530</v>
      </c>
      <c r="J9" s="135">
        <v>500</v>
      </c>
      <c r="K9" s="135">
        <v>160</v>
      </c>
      <c r="L9" s="152">
        <v>400</v>
      </c>
      <c r="M9" s="154">
        <v>150</v>
      </c>
      <c r="N9" s="155">
        <v>150</v>
      </c>
      <c r="O9" s="304"/>
      <c r="P9" s="357"/>
      <c r="Q9" s="357"/>
      <c r="R9" s="357"/>
      <c r="S9" s="357"/>
      <c r="T9" s="357"/>
      <c r="U9" s="357"/>
      <c r="V9" s="357"/>
      <c r="W9" s="357"/>
    </row>
    <row r="10" spans="1:23" ht="18" customHeight="1" thickBot="1">
      <c r="A10" s="348" t="s">
        <v>29</v>
      </c>
      <c r="B10" s="348"/>
      <c r="C10" s="348"/>
      <c r="D10" s="348"/>
      <c r="E10" s="348"/>
      <c r="F10" s="348"/>
      <c r="G10" s="348"/>
      <c r="H10" s="348"/>
      <c r="I10" s="348"/>
      <c r="J10" s="348"/>
      <c r="K10" s="348"/>
      <c r="L10" s="348"/>
      <c r="M10" s="287"/>
      <c r="N10" s="287"/>
      <c r="P10" s="357"/>
      <c r="Q10" s="357"/>
      <c r="R10" s="357"/>
      <c r="S10" s="357"/>
      <c r="T10" s="357"/>
      <c r="U10" s="357"/>
      <c r="V10" s="357"/>
      <c r="W10" s="357"/>
    </row>
    <row r="11" spans="1:14" ht="24" customHeight="1" thickBot="1">
      <c r="A11" s="407" t="s">
        <v>142</v>
      </c>
      <c r="B11" s="408"/>
      <c r="C11" s="408"/>
      <c r="D11" s="408"/>
      <c r="E11" s="408"/>
      <c r="F11" s="408"/>
      <c r="G11" s="408"/>
      <c r="H11" s="408"/>
      <c r="I11" s="408"/>
      <c r="J11" s="408"/>
      <c r="K11" s="408"/>
      <c r="L11" s="408"/>
      <c r="M11" s="408"/>
      <c r="N11" s="409"/>
    </row>
    <row r="12" spans="1:23" s="284" customFormat="1" ht="21.75" customHeight="1">
      <c r="A12" s="372" t="s">
        <v>110</v>
      </c>
      <c r="B12" s="373"/>
      <c r="C12" s="373"/>
      <c r="D12" s="373"/>
      <c r="E12" s="374"/>
      <c r="F12" s="130">
        <v>10075</v>
      </c>
      <c r="G12" s="300" t="s">
        <v>149</v>
      </c>
      <c r="H12" s="410" t="s">
        <v>126</v>
      </c>
      <c r="I12" s="411"/>
      <c r="J12" s="411"/>
      <c r="K12" s="411"/>
      <c r="L12" s="411"/>
      <c r="M12" s="411"/>
      <c r="N12" s="412"/>
      <c r="O12" s="291"/>
      <c r="P12" s="356" t="s">
        <v>116</v>
      </c>
      <c r="Q12" s="356"/>
      <c r="R12" s="356"/>
      <c r="S12" s="356"/>
      <c r="T12" s="356"/>
      <c r="U12" s="356"/>
      <c r="V12" s="356"/>
      <c r="W12" s="356"/>
    </row>
    <row r="13" spans="1:23" s="284" customFormat="1" ht="21.75" customHeight="1" thickBot="1">
      <c r="A13" s="375" t="s">
        <v>111</v>
      </c>
      <c r="B13" s="376"/>
      <c r="C13" s="376"/>
      <c r="D13" s="376"/>
      <c r="E13" s="377"/>
      <c r="F13" s="131">
        <v>900</v>
      </c>
      <c r="G13" s="129" t="s">
        <v>150</v>
      </c>
      <c r="H13" s="413"/>
      <c r="I13" s="414"/>
      <c r="J13" s="414"/>
      <c r="K13" s="414"/>
      <c r="L13" s="414"/>
      <c r="M13" s="414"/>
      <c r="N13" s="415"/>
      <c r="O13" s="291"/>
      <c r="P13" s="358"/>
      <c r="Q13" s="358"/>
      <c r="R13" s="358"/>
      <c r="S13" s="358"/>
      <c r="T13" s="358"/>
      <c r="U13" s="358"/>
      <c r="V13" s="358"/>
      <c r="W13" s="358"/>
    </row>
    <row r="14" spans="1:23" s="284" customFormat="1" ht="21.75" customHeight="1" thickBot="1">
      <c r="A14" s="317" t="s">
        <v>155</v>
      </c>
      <c r="B14" s="318"/>
      <c r="C14" s="318"/>
      <c r="D14" s="318"/>
      <c r="E14" s="318"/>
      <c r="F14" s="147">
        <v>1310</v>
      </c>
      <c r="G14" s="299" t="s">
        <v>156</v>
      </c>
      <c r="H14" s="416" t="s">
        <v>157</v>
      </c>
      <c r="I14" s="417"/>
      <c r="J14" s="417"/>
      <c r="K14" s="417"/>
      <c r="L14" s="417"/>
      <c r="M14" s="417"/>
      <c r="N14" s="418"/>
      <c r="O14" s="291"/>
      <c r="P14" s="358"/>
      <c r="Q14" s="358"/>
      <c r="R14" s="358"/>
      <c r="S14" s="358"/>
      <c r="T14" s="358"/>
      <c r="U14" s="358"/>
      <c r="V14" s="358"/>
      <c r="W14" s="358"/>
    </row>
    <row r="15" spans="1:23" s="284" customFormat="1" ht="30" customHeight="1" thickBot="1">
      <c r="A15" s="325" t="str">
        <f>IF(G29&lt;900,"* Chú ý: khoảng cách từ trục sau cùng tới đuôi xe quá ngắn (ROHđ) &lt; 900mm, đề nghị giảm chiều dài cơ sở","OK")</f>
        <v>* Chú ý: khoảng cách từ trục sau cùng tới đuôi xe quá ngắn (ROHđ) &lt; 900mm, đề nghị giảm chiều dài cơ sở</v>
      </c>
      <c r="B15" s="325"/>
      <c r="C15" s="325"/>
      <c r="D15" s="325"/>
      <c r="E15" s="325"/>
      <c r="F15" s="325"/>
      <c r="G15" s="325"/>
      <c r="H15" s="367" t="str">
        <f>IF((F29-((F14/2)*(B9-1)))&gt;I39,"* Chú ý: Chiều dài đuôi xe ROH &gt; 60% chiều dài cơ sở","OK")</f>
        <v>OK</v>
      </c>
      <c r="I15" s="367"/>
      <c r="J15" s="367"/>
      <c r="K15" s="367"/>
      <c r="L15" s="367"/>
      <c r="M15" s="289"/>
      <c r="N15" s="289"/>
      <c r="O15" s="291"/>
      <c r="P15" s="358"/>
      <c r="Q15" s="358"/>
      <c r="R15" s="358"/>
      <c r="S15" s="358"/>
      <c r="T15" s="358"/>
      <c r="U15" s="358"/>
      <c r="V15" s="358"/>
      <c r="W15" s="358"/>
    </row>
    <row r="16" spans="1:23" s="284" customFormat="1" ht="45.75" customHeight="1">
      <c r="A16" s="393" t="s">
        <v>143</v>
      </c>
      <c r="B16" s="360"/>
      <c r="C16" s="360"/>
      <c r="D16" s="360"/>
      <c r="E16" s="360"/>
      <c r="F16" s="360"/>
      <c r="G16" s="360"/>
      <c r="H16" s="419" t="s">
        <v>138</v>
      </c>
      <c r="I16" s="420"/>
      <c r="J16" s="420"/>
      <c r="K16" s="420"/>
      <c r="L16" s="420"/>
      <c r="M16" s="420"/>
      <c r="N16" s="421"/>
      <c r="O16" s="291"/>
      <c r="P16" s="358"/>
      <c r="Q16" s="358"/>
      <c r="R16" s="358"/>
      <c r="S16" s="358"/>
      <c r="T16" s="358"/>
      <c r="U16" s="358"/>
      <c r="V16" s="358"/>
      <c r="W16" s="358"/>
    </row>
    <row r="17" spans="1:23" s="284" customFormat="1" ht="21.75" customHeight="1">
      <c r="A17" s="349" t="s">
        <v>3</v>
      </c>
      <c r="B17" s="350"/>
      <c r="C17" s="350"/>
      <c r="D17" s="350"/>
      <c r="E17" s="350"/>
      <c r="F17" s="114">
        <f>H9+I9</f>
        <v>3560</v>
      </c>
      <c r="G17" s="138" t="s">
        <v>1</v>
      </c>
      <c r="H17" s="422" t="str">
        <f>A15</f>
        <v>* Chú ý: khoảng cách từ trục sau cùng tới đuôi xe quá ngắn (ROHđ) &lt; 900mm, đề nghị giảm chiều dài cơ sở</v>
      </c>
      <c r="I17" s="423"/>
      <c r="J17" s="423"/>
      <c r="K17" s="423"/>
      <c r="L17" s="423"/>
      <c r="M17" s="423"/>
      <c r="N17" s="424"/>
      <c r="O17" s="291"/>
      <c r="P17" s="358"/>
      <c r="Q17" s="358"/>
      <c r="R17" s="358"/>
      <c r="S17" s="358"/>
      <c r="T17" s="358"/>
      <c r="U17" s="358"/>
      <c r="V17" s="358"/>
      <c r="W17" s="358"/>
    </row>
    <row r="18" spans="1:23" s="284" customFormat="1" ht="21.75" customHeight="1">
      <c r="A18" s="385" t="s">
        <v>4</v>
      </c>
      <c r="B18" s="386"/>
      <c r="C18" s="386"/>
      <c r="D18" s="386"/>
      <c r="E18" s="386"/>
      <c r="F18" s="115">
        <f>F21-F17</f>
        <v>30000</v>
      </c>
      <c r="G18" s="139" t="s">
        <v>1</v>
      </c>
      <c r="H18" s="422" t="str">
        <f>H15</f>
        <v>OK</v>
      </c>
      <c r="I18" s="423"/>
      <c r="J18" s="423"/>
      <c r="K18" s="423"/>
      <c r="L18" s="423"/>
      <c r="M18" s="423"/>
      <c r="N18" s="424"/>
      <c r="O18" s="291"/>
      <c r="P18" s="358"/>
      <c r="Q18" s="358"/>
      <c r="R18" s="358"/>
      <c r="S18" s="358"/>
      <c r="T18" s="358"/>
      <c r="U18" s="358"/>
      <c r="V18" s="358"/>
      <c r="W18" s="358"/>
    </row>
    <row r="19" spans="1:23" s="284" customFormat="1" ht="21.75" customHeight="1">
      <c r="A19" s="349" t="s">
        <v>134</v>
      </c>
      <c r="B19" s="350"/>
      <c r="C19" s="350"/>
      <c r="D19" s="350"/>
      <c r="E19" s="350"/>
      <c r="F19" s="114">
        <f>((I37-(I29))*C29/(C29-D29))</f>
        <v>29491.059602649006</v>
      </c>
      <c r="G19" s="138" t="s">
        <v>1</v>
      </c>
      <c r="H19" s="425" t="str">
        <f>IF((I37-(I29))*C29/(C29-D29)&lt;30480,"* Chú ý: Khối lượng hàng chuyên chở CPTGGT không chở được container tiêu chuẩn 30480 kg"," OK")</f>
        <v>* Chú ý: Khối lượng hàng chuyên chở CPTGGT không chở được container tiêu chuẩn 30480 kg</v>
      </c>
      <c r="I19" s="426"/>
      <c r="J19" s="426"/>
      <c r="K19" s="426"/>
      <c r="L19" s="426"/>
      <c r="M19" s="426"/>
      <c r="N19" s="427"/>
      <c r="O19" s="291"/>
      <c r="P19" s="358"/>
      <c r="Q19" s="358"/>
      <c r="R19" s="358"/>
      <c r="S19" s="358"/>
      <c r="T19" s="358"/>
      <c r="U19" s="358"/>
      <c r="V19" s="358"/>
      <c r="W19" s="358"/>
    </row>
    <row r="20" spans="1:23" s="284" customFormat="1" ht="21.75" customHeight="1">
      <c r="A20" s="387" t="s">
        <v>133</v>
      </c>
      <c r="B20" s="388"/>
      <c r="C20" s="388"/>
      <c r="D20" s="388"/>
      <c r="E20" s="388"/>
      <c r="F20" s="136">
        <f>'Tính toán Kiểm tra chi tiết'!C18</f>
        <v>29490</v>
      </c>
      <c r="G20" s="138" t="s">
        <v>1</v>
      </c>
      <c r="H20" s="428" t="s">
        <v>137</v>
      </c>
      <c r="I20" s="429"/>
      <c r="J20" s="429"/>
      <c r="K20" s="429"/>
      <c r="L20" s="429"/>
      <c r="M20" s="429"/>
      <c r="N20" s="430"/>
      <c r="O20" s="305"/>
      <c r="P20" s="358"/>
      <c r="Q20" s="358"/>
      <c r="R20" s="358"/>
      <c r="S20" s="358"/>
      <c r="T20" s="358"/>
      <c r="U20" s="358"/>
      <c r="V20" s="358"/>
      <c r="W20" s="358"/>
    </row>
    <row r="21" spans="1:23" s="284" customFormat="1" ht="21.75" customHeight="1">
      <c r="A21" s="385" t="s">
        <v>5</v>
      </c>
      <c r="B21" s="386"/>
      <c r="C21" s="386"/>
      <c r="D21" s="386"/>
      <c r="E21" s="386"/>
      <c r="F21" s="115">
        <f>G9</f>
        <v>33560</v>
      </c>
      <c r="G21" s="139" t="s">
        <v>1</v>
      </c>
      <c r="H21" s="431" t="str">
        <f>IF(B9&gt;2,IF(F14&lt;1310,"Không đạt yêu cầu: - Khoảng cách d &gt;= 1310mm","OK"),"OK")</f>
        <v>OK</v>
      </c>
      <c r="I21" s="432"/>
      <c r="J21" s="432"/>
      <c r="K21" s="432"/>
      <c r="L21" s="432"/>
      <c r="M21" s="432"/>
      <c r="N21" s="433"/>
      <c r="O21" s="291"/>
      <c r="P21" s="358"/>
      <c r="Q21" s="358"/>
      <c r="R21" s="358"/>
      <c r="S21" s="358"/>
      <c r="T21" s="358"/>
      <c r="U21" s="358"/>
      <c r="V21" s="358"/>
      <c r="W21" s="358"/>
    </row>
    <row r="22" spans="1:23" s="284" customFormat="1" ht="21.75" customHeight="1">
      <c r="A22" s="349" t="s">
        <v>135</v>
      </c>
      <c r="B22" s="350"/>
      <c r="C22" s="350"/>
      <c r="D22" s="350"/>
      <c r="E22" s="350"/>
      <c r="F22" s="114">
        <f>F19+F17</f>
        <v>33051.05960264901</v>
      </c>
      <c r="G22" s="138" t="s">
        <v>1</v>
      </c>
      <c r="H22" s="395">
        <f>'Tính toán Kiểm tra chi tiết'!A12</f>
      </c>
      <c r="I22" s="396"/>
      <c r="J22" s="396"/>
      <c r="K22" s="396"/>
      <c r="L22" s="396"/>
      <c r="M22" s="396"/>
      <c r="N22" s="397"/>
      <c r="O22" s="291"/>
      <c r="P22" s="358"/>
      <c r="Q22" s="358"/>
      <c r="R22" s="358"/>
      <c r="S22" s="358"/>
      <c r="T22" s="358"/>
      <c r="U22" s="358"/>
      <c r="V22" s="358"/>
      <c r="W22" s="358"/>
    </row>
    <row r="23" spans="1:23" s="284" customFormat="1" ht="21.75" customHeight="1">
      <c r="A23" s="383" t="s">
        <v>22</v>
      </c>
      <c r="B23" s="384"/>
      <c r="C23" s="384"/>
      <c r="D23" s="384"/>
      <c r="E23" s="384"/>
      <c r="F23" s="137">
        <f>F22-F24</f>
        <v>15051.05960264901</v>
      </c>
      <c r="G23" s="138" t="s">
        <v>1</v>
      </c>
      <c r="H23" s="398" t="str">
        <f>IF((F23)&gt;'Tính toán Kiểm tra chi tiết'!G11,"* Chú ý: giá trị KL toàn bộ của SMRM phân bố lên chốt kéo lớn hơn Khối lương hàng chuyên chở CPTGGT của đầu kéo mẫu","Kết quả phù hợp với đầu kéo mẫu")</f>
        <v>Kết quả phù hợp với đầu kéo mẫu</v>
      </c>
      <c r="I23" s="399"/>
      <c r="J23" s="399"/>
      <c r="K23" s="399"/>
      <c r="L23" s="399"/>
      <c r="M23" s="399"/>
      <c r="N23" s="400"/>
      <c r="O23" s="291"/>
      <c r="P23" s="370" t="s">
        <v>118</v>
      </c>
      <c r="Q23" s="371"/>
      <c r="R23" s="371"/>
      <c r="S23" s="371"/>
      <c r="T23" s="371"/>
      <c r="U23" s="371"/>
      <c r="V23" s="371"/>
      <c r="W23" s="371"/>
    </row>
    <row r="24" spans="1:23" s="284" customFormat="1" ht="21.75" customHeight="1" thickBot="1">
      <c r="A24" s="391" t="s">
        <v>23</v>
      </c>
      <c r="B24" s="392"/>
      <c r="C24" s="392"/>
      <c r="D24" s="392"/>
      <c r="E24" s="392"/>
      <c r="F24" s="128">
        <f>I37</f>
        <v>18000</v>
      </c>
      <c r="G24" s="140" t="s">
        <v>1</v>
      </c>
      <c r="H24" s="401" t="s">
        <v>136</v>
      </c>
      <c r="I24" s="402"/>
      <c r="J24" s="402"/>
      <c r="K24" s="402"/>
      <c r="L24" s="402"/>
      <c r="M24" s="402"/>
      <c r="N24" s="403"/>
      <c r="O24" s="291"/>
      <c r="P24" s="371"/>
      <c r="Q24" s="371"/>
      <c r="R24" s="371"/>
      <c r="S24" s="371"/>
      <c r="T24" s="371"/>
      <c r="U24" s="371"/>
      <c r="V24" s="371"/>
      <c r="W24" s="371"/>
    </row>
    <row r="25" spans="13:23" ht="18" customHeight="1" thickBot="1">
      <c r="M25" s="290"/>
      <c r="N25" s="290"/>
      <c r="P25" s="371"/>
      <c r="Q25" s="371"/>
      <c r="R25" s="371"/>
      <c r="S25" s="371"/>
      <c r="T25" s="371"/>
      <c r="U25" s="371"/>
      <c r="V25" s="371"/>
      <c r="W25" s="371"/>
    </row>
    <row r="26" spans="1:23" ht="30.75" customHeight="1">
      <c r="A26" s="359" t="s">
        <v>144</v>
      </c>
      <c r="B26" s="360"/>
      <c r="C26" s="360"/>
      <c r="D26" s="360"/>
      <c r="E26" s="360"/>
      <c r="F26" s="360"/>
      <c r="G26" s="360"/>
      <c r="H26" s="360"/>
      <c r="I26" s="360"/>
      <c r="J26" s="360"/>
      <c r="K26" s="360"/>
      <c r="L26" s="360"/>
      <c r="M26" s="360"/>
      <c r="N26" s="361"/>
      <c r="P26" s="371"/>
      <c r="Q26" s="371"/>
      <c r="R26" s="371"/>
      <c r="S26" s="371"/>
      <c r="T26" s="371"/>
      <c r="U26" s="371"/>
      <c r="V26" s="371"/>
      <c r="W26" s="371"/>
    </row>
    <row r="27" spans="1:23" ht="47.25" customHeight="1">
      <c r="A27" s="319" t="s">
        <v>6</v>
      </c>
      <c r="B27" s="390" t="s">
        <v>2</v>
      </c>
      <c r="C27" s="341" t="s">
        <v>16</v>
      </c>
      <c r="D27" s="342"/>
      <c r="E27" s="342"/>
      <c r="F27" s="343"/>
      <c r="G27" s="344" t="s">
        <v>148</v>
      </c>
      <c r="H27" s="345" t="s">
        <v>119</v>
      </c>
      <c r="I27" s="345"/>
      <c r="J27" s="351" t="s">
        <v>17</v>
      </c>
      <c r="K27" s="351"/>
      <c r="L27" s="351"/>
      <c r="M27" s="351" t="s">
        <v>158</v>
      </c>
      <c r="N27" s="394"/>
      <c r="P27" s="371"/>
      <c r="Q27" s="371"/>
      <c r="R27" s="371"/>
      <c r="S27" s="371"/>
      <c r="T27" s="371"/>
      <c r="U27" s="371"/>
      <c r="V27" s="371"/>
      <c r="W27" s="371"/>
    </row>
    <row r="28" spans="1:14" ht="87.75" customHeight="1">
      <c r="A28" s="319"/>
      <c r="B28" s="390"/>
      <c r="C28" s="3" t="s">
        <v>13</v>
      </c>
      <c r="D28" s="3" t="s">
        <v>12</v>
      </c>
      <c r="E28" s="3" t="s">
        <v>162</v>
      </c>
      <c r="F28" s="3" t="s">
        <v>18</v>
      </c>
      <c r="G28" s="344"/>
      <c r="H28" s="1" t="s">
        <v>7</v>
      </c>
      <c r="I28" s="1" t="s">
        <v>8</v>
      </c>
      <c r="J28" s="2" t="s">
        <v>14</v>
      </c>
      <c r="K28" s="2" t="s">
        <v>15</v>
      </c>
      <c r="L28" s="2" t="s">
        <v>11</v>
      </c>
      <c r="M28" s="2" t="s">
        <v>159</v>
      </c>
      <c r="N28" s="132" t="s">
        <v>160</v>
      </c>
    </row>
    <row r="29" spans="1:14" ht="17.25" customHeight="1">
      <c r="A29" s="274" t="str">
        <f>A9</f>
        <v>ABC</v>
      </c>
      <c r="B29" s="275">
        <f>B9</f>
        <v>2</v>
      </c>
      <c r="C29" s="275">
        <f>F12</f>
        <v>10075</v>
      </c>
      <c r="D29" s="276">
        <f>F12+F13-I33</f>
        <v>4790</v>
      </c>
      <c r="E29" s="275">
        <f>F13</f>
        <v>900</v>
      </c>
      <c r="F29" s="275">
        <f>F9-E29-C29</f>
        <v>1425</v>
      </c>
      <c r="G29" s="277">
        <f>F29-(B29-1)*(F14/2)</f>
        <v>770</v>
      </c>
      <c r="H29" s="278">
        <f>F17-I29</f>
        <v>1030</v>
      </c>
      <c r="I29" s="278">
        <f>(I34*(C29-I35)/C29)+L30</f>
        <v>2530</v>
      </c>
      <c r="J29" s="279">
        <f>J9*B9</f>
        <v>1000</v>
      </c>
      <c r="K29" s="279">
        <f>K9*B9</f>
        <v>320</v>
      </c>
      <c r="L29" s="280">
        <f>L9*B9</f>
        <v>800</v>
      </c>
      <c r="M29" s="280">
        <f>M9</f>
        <v>150</v>
      </c>
      <c r="N29" s="280">
        <f>N9</f>
        <v>150</v>
      </c>
    </row>
    <row r="30" spans="1:15" s="284" customFormat="1" ht="20.25" customHeight="1" thickBot="1">
      <c r="A30" s="381" t="s">
        <v>113</v>
      </c>
      <c r="B30" s="382"/>
      <c r="C30" s="281" t="str">
        <f>CONCATENATE(I38," + ",J38,IF(B29=3,(" + "),""),K38)</f>
        <v>9420 + 1310</v>
      </c>
      <c r="D30" s="281"/>
      <c r="E30" s="378"/>
      <c r="F30" s="379"/>
      <c r="G30" s="380"/>
      <c r="H30" s="150" t="s">
        <v>33</v>
      </c>
      <c r="I30" s="142">
        <f>SUM(H29:I29)</f>
        <v>3560</v>
      </c>
      <c r="J30" s="315" t="s">
        <v>130</v>
      </c>
      <c r="K30" s="316"/>
      <c r="L30" s="153">
        <f>SUM(J29:L29)</f>
        <v>2120</v>
      </c>
      <c r="M30" s="368"/>
      <c r="N30" s="369"/>
      <c r="O30" s="291"/>
    </row>
    <row r="31" spans="1:15" s="284" customFormat="1" ht="18" customHeight="1" thickBot="1">
      <c r="A31" s="291"/>
      <c r="B31" s="291"/>
      <c r="C31" s="291"/>
      <c r="D31" s="291"/>
      <c r="E31" s="291"/>
      <c r="F31" s="291"/>
      <c r="G31" s="291"/>
      <c r="H31" s="291"/>
      <c r="I31" s="292"/>
      <c r="J31" s="291"/>
      <c r="K31" s="291"/>
      <c r="L31" s="291"/>
      <c r="M31" s="291"/>
      <c r="N31" s="291"/>
      <c r="O31" s="291"/>
    </row>
    <row r="32" spans="1:15" s="284" customFormat="1" ht="22.5" customHeight="1">
      <c r="A32" s="353" t="s">
        <v>112</v>
      </c>
      <c r="B32" s="354"/>
      <c r="C32" s="354"/>
      <c r="D32" s="354"/>
      <c r="E32" s="354"/>
      <c r="F32" s="354"/>
      <c r="G32" s="354"/>
      <c r="H32" s="354"/>
      <c r="I32" s="354"/>
      <c r="J32" s="354"/>
      <c r="K32" s="354"/>
      <c r="L32" s="355"/>
      <c r="M32" s="288"/>
      <c r="N32" s="288"/>
      <c r="O32" s="291"/>
    </row>
    <row r="33" spans="1:15" s="284" customFormat="1" ht="18" customHeight="1">
      <c r="A33" s="340" t="s">
        <v>19</v>
      </c>
      <c r="B33" s="336"/>
      <c r="C33" s="336"/>
      <c r="D33" s="336"/>
      <c r="E33" s="336"/>
      <c r="F33" s="336"/>
      <c r="G33" s="336"/>
      <c r="H33" s="336"/>
      <c r="I33" s="116">
        <f>E9+(C9-D9)</f>
        <v>6185</v>
      </c>
      <c r="J33" s="326"/>
      <c r="K33" s="327"/>
      <c r="L33" s="328"/>
      <c r="M33" s="293"/>
      <c r="N33" s="293"/>
      <c r="O33" s="291"/>
    </row>
    <row r="34" spans="1:15" s="284" customFormat="1" ht="18" customHeight="1">
      <c r="A34" s="340" t="s">
        <v>20</v>
      </c>
      <c r="B34" s="336"/>
      <c r="C34" s="336"/>
      <c r="D34" s="336"/>
      <c r="E34" s="336"/>
      <c r="F34" s="336"/>
      <c r="G34" s="336"/>
      <c r="H34" s="336"/>
      <c r="I34" s="116">
        <f>H9+I9-J29-K29-L29</f>
        <v>1440</v>
      </c>
      <c r="J34" s="329"/>
      <c r="K34" s="330"/>
      <c r="L34" s="331"/>
      <c r="M34" s="293"/>
      <c r="N34" s="293"/>
      <c r="O34" s="291"/>
    </row>
    <row r="35" spans="1:15" s="284" customFormat="1" ht="30" customHeight="1">
      <c r="A35" s="337" t="s">
        <v>152</v>
      </c>
      <c r="B35" s="338"/>
      <c r="C35" s="338"/>
      <c r="D35" s="338"/>
      <c r="E35" s="338"/>
      <c r="F35" s="338"/>
      <c r="G35" s="338"/>
      <c r="H35" s="339"/>
      <c r="I35" s="146">
        <f>D29-D9+I36</f>
        <v>7206.423611111111</v>
      </c>
      <c r="J35" s="329"/>
      <c r="K35" s="330"/>
      <c r="L35" s="331"/>
      <c r="M35" s="293"/>
      <c r="N35" s="293"/>
      <c r="O35" s="291"/>
    </row>
    <row r="36" spans="1:15" s="284" customFormat="1" ht="30" customHeight="1">
      <c r="A36" s="335" t="s">
        <v>147</v>
      </c>
      <c r="B36" s="336"/>
      <c r="C36" s="336"/>
      <c r="D36" s="336"/>
      <c r="E36" s="336"/>
      <c r="F36" s="336"/>
      <c r="G36" s="336"/>
      <c r="H36" s="336"/>
      <c r="I36" s="116">
        <f>C9-((I9-L30)*C9/I34)</f>
        <v>7206.423611111111</v>
      </c>
      <c r="J36" s="329"/>
      <c r="K36" s="330"/>
      <c r="L36" s="331"/>
      <c r="M36" s="293"/>
      <c r="N36" s="293"/>
      <c r="O36" s="291"/>
    </row>
    <row r="37" spans="1:15" s="284" customFormat="1" ht="18" customHeight="1">
      <c r="A37" s="346" t="s">
        <v>21</v>
      </c>
      <c r="B37" s="347"/>
      <c r="C37" s="347"/>
      <c r="D37" s="347"/>
      <c r="E37" s="347"/>
      <c r="F37" s="347"/>
      <c r="G37" s="347"/>
      <c r="H37" s="347"/>
      <c r="I37" s="117">
        <f>IF(B29=2,18000,IF(B29=3,24000,10000))</f>
        <v>18000</v>
      </c>
      <c r="J37" s="332"/>
      <c r="K37" s="333"/>
      <c r="L37" s="334"/>
      <c r="M37" s="293"/>
      <c r="N37" s="293"/>
      <c r="O37" s="291"/>
    </row>
    <row r="38" spans="1:15" s="284" customFormat="1" ht="18" customHeight="1">
      <c r="A38" s="346" t="s">
        <v>109</v>
      </c>
      <c r="B38" s="347"/>
      <c r="C38" s="347"/>
      <c r="D38" s="347"/>
      <c r="E38" s="347"/>
      <c r="F38" s="347"/>
      <c r="G38" s="347"/>
      <c r="H38" s="347"/>
      <c r="I38" s="116">
        <f>IF(B29=3,C29-F14,C29-(F14/2))</f>
        <v>9420</v>
      </c>
      <c r="J38" s="117">
        <f>IF(B29=2,F14,IF(B29=3,F14,""))</f>
        <v>1310</v>
      </c>
      <c r="K38" s="118">
        <f>IF(B29=3,F14,"")</f>
      </c>
      <c r="L38" s="297"/>
      <c r="M38" s="294"/>
      <c r="N38" s="294"/>
      <c r="O38" s="291"/>
    </row>
    <row r="39" spans="1:15" s="284" customFormat="1" ht="18" customHeight="1" thickBot="1">
      <c r="A39" s="323" t="s">
        <v>139</v>
      </c>
      <c r="B39" s="324"/>
      <c r="C39" s="324"/>
      <c r="D39" s="324"/>
      <c r="E39" s="324"/>
      <c r="F39" s="324"/>
      <c r="G39" s="324"/>
      <c r="H39" s="324"/>
      <c r="I39" s="298">
        <f>(I38+F14+F14)*60/100</f>
        <v>7224</v>
      </c>
      <c r="J39" s="404"/>
      <c r="K39" s="405"/>
      <c r="L39" s="406"/>
      <c r="M39" s="291"/>
      <c r="N39" s="291"/>
      <c r="O39" s="291"/>
    </row>
    <row r="40" spans="1:14" ht="26.25" customHeight="1">
      <c r="A40" s="311" t="s">
        <v>25</v>
      </c>
      <c r="B40" s="311"/>
      <c r="C40" s="311"/>
      <c r="D40" s="311"/>
      <c r="E40" s="311"/>
      <c r="F40" s="311"/>
      <c r="G40" s="311"/>
      <c r="H40" s="311"/>
      <c r="I40" s="311"/>
      <c r="J40" s="311"/>
      <c r="K40" s="311"/>
      <c r="L40" s="311"/>
      <c r="M40" s="295"/>
      <c r="N40" s="295"/>
    </row>
    <row r="41" spans="1:14" ht="12.75">
      <c r="A41" s="310" t="s">
        <v>24</v>
      </c>
      <c r="B41" s="310"/>
      <c r="C41" s="310"/>
      <c r="D41" s="310"/>
      <c r="E41" s="310"/>
      <c r="F41" s="310"/>
      <c r="G41" s="310"/>
      <c r="H41" s="310"/>
      <c r="I41" s="310"/>
      <c r="J41" s="310"/>
      <c r="K41" s="310"/>
      <c r="L41" s="310"/>
      <c r="M41" s="296"/>
      <c r="N41" s="296"/>
    </row>
    <row r="42" spans="1:15" s="284" customFormat="1" ht="18" customHeight="1" hidden="1">
      <c r="A42" s="291"/>
      <c r="B42" s="291"/>
      <c r="C42" s="291"/>
      <c r="D42" s="291"/>
      <c r="E42" s="291"/>
      <c r="F42" s="291"/>
      <c r="G42" s="291"/>
      <c r="H42" s="291"/>
      <c r="I42" s="291"/>
      <c r="J42" s="291"/>
      <c r="K42" s="291"/>
      <c r="L42" s="291"/>
      <c r="M42" s="291"/>
      <c r="N42" s="291"/>
      <c r="O42" s="291"/>
    </row>
    <row r="43" spans="1:15" s="284" customFormat="1" ht="18" customHeight="1" hidden="1">
      <c r="A43" s="291"/>
      <c r="B43" s="291"/>
      <c r="C43" s="291"/>
      <c r="D43" s="291"/>
      <c r="E43" s="291"/>
      <c r="F43" s="291"/>
      <c r="G43" s="291"/>
      <c r="H43" s="291"/>
      <c r="I43" s="291"/>
      <c r="J43" s="291"/>
      <c r="K43" s="291"/>
      <c r="L43" s="291"/>
      <c r="M43" s="291"/>
      <c r="N43" s="291"/>
      <c r="O43" s="291"/>
    </row>
    <row r="44" spans="1:15" s="284" customFormat="1" ht="18" customHeight="1" hidden="1">
      <c r="A44" s="291"/>
      <c r="B44" s="291"/>
      <c r="C44" s="291"/>
      <c r="D44" s="291"/>
      <c r="E44" s="291"/>
      <c r="F44" s="291"/>
      <c r="G44" s="291"/>
      <c r="H44" s="291"/>
      <c r="I44" s="291"/>
      <c r="J44" s="291"/>
      <c r="K44" s="291"/>
      <c r="L44" s="291"/>
      <c r="M44" s="291"/>
      <c r="N44" s="291"/>
      <c r="O44" s="291"/>
    </row>
    <row r="45" spans="1:15" s="284" customFormat="1" ht="18" customHeight="1" hidden="1">
      <c r="A45" s="291"/>
      <c r="B45" s="291"/>
      <c r="C45" s="291"/>
      <c r="D45" s="291"/>
      <c r="E45" s="291"/>
      <c r="F45" s="291"/>
      <c r="G45" s="291"/>
      <c r="H45" s="291"/>
      <c r="I45" s="291"/>
      <c r="J45" s="291"/>
      <c r="K45" s="291"/>
      <c r="L45" s="291"/>
      <c r="M45" s="291"/>
      <c r="N45" s="291"/>
      <c r="O45" s="291"/>
    </row>
    <row r="46" spans="1:15" s="284" customFormat="1" ht="18" customHeight="1" hidden="1">
      <c r="A46" s="291"/>
      <c r="B46" s="291"/>
      <c r="C46" s="291"/>
      <c r="D46" s="291"/>
      <c r="E46" s="291"/>
      <c r="F46" s="291"/>
      <c r="G46" s="291"/>
      <c r="H46" s="291"/>
      <c r="I46" s="291"/>
      <c r="J46" s="291"/>
      <c r="K46" s="291"/>
      <c r="L46" s="291"/>
      <c r="M46" s="291"/>
      <c r="N46" s="291"/>
      <c r="O46" s="291"/>
    </row>
    <row r="47" spans="1:15" s="284" customFormat="1" ht="18" customHeight="1" hidden="1">
      <c r="A47" s="291"/>
      <c r="B47" s="291"/>
      <c r="C47" s="291"/>
      <c r="D47" s="291"/>
      <c r="E47" s="291"/>
      <c r="F47" s="291"/>
      <c r="G47" s="291"/>
      <c r="H47" s="291"/>
      <c r="I47" s="291"/>
      <c r="J47" s="291"/>
      <c r="K47" s="291"/>
      <c r="L47" s="291"/>
      <c r="M47" s="291"/>
      <c r="N47" s="291"/>
      <c r="O47" s="291"/>
    </row>
    <row r="48" spans="1:15" s="284" customFormat="1" ht="18" customHeight="1" hidden="1">
      <c r="A48" s="291"/>
      <c r="B48" s="291"/>
      <c r="C48" s="291"/>
      <c r="D48" s="291"/>
      <c r="E48" s="291"/>
      <c r="F48" s="291"/>
      <c r="G48" s="291"/>
      <c r="H48" s="291"/>
      <c r="I48" s="291"/>
      <c r="J48" s="291"/>
      <c r="K48" s="291"/>
      <c r="L48" s="291"/>
      <c r="M48" s="291"/>
      <c r="N48" s="291"/>
      <c r="O48" s="291"/>
    </row>
    <row r="49" spans="1:15" s="284" customFormat="1" ht="18" customHeight="1" hidden="1">
      <c r="A49" s="291"/>
      <c r="B49" s="291"/>
      <c r="C49" s="291"/>
      <c r="D49" s="291"/>
      <c r="E49" s="291"/>
      <c r="F49" s="291"/>
      <c r="G49" s="291"/>
      <c r="H49" s="291"/>
      <c r="I49" s="291"/>
      <c r="J49" s="291"/>
      <c r="K49" s="291"/>
      <c r="L49" s="291"/>
      <c r="M49" s="291"/>
      <c r="N49" s="291"/>
      <c r="O49" s="291"/>
    </row>
    <row r="50" spans="1:15" s="284" customFormat="1" ht="18" customHeight="1" hidden="1">
      <c r="A50" s="291"/>
      <c r="B50" s="291"/>
      <c r="C50" s="291"/>
      <c r="D50" s="291"/>
      <c r="E50" s="291"/>
      <c r="F50" s="291"/>
      <c r="G50" s="291"/>
      <c r="H50" s="291"/>
      <c r="I50" s="291"/>
      <c r="J50" s="291"/>
      <c r="K50" s="291"/>
      <c r="L50" s="291"/>
      <c r="M50" s="291"/>
      <c r="N50" s="291"/>
      <c r="O50" s="291"/>
    </row>
    <row r="51" spans="1:15" s="284" customFormat="1" ht="18" customHeight="1" hidden="1">
      <c r="A51" s="291"/>
      <c r="B51" s="291"/>
      <c r="C51" s="291"/>
      <c r="D51" s="291"/>
      <c r="E51" s="291"/>
      <c r="F51" s="291"/>
      <c r="G51" s="291"/>
      <c r="H51" s="291"/>
      <c r="I51" s="291"/>
      <c r="J51" s="291"/>
      <c r="K51" s="291"/>
      <c r="L51" s="291"/>
      <c r="M51" s="291"/>
      <c r="N51" s="291"/>
      <c r="O51" s="291"/>
    </row>
    <row r="52" spans="1:15" s="284" customFormat="1" ht="18" customHeight="1" hidden="1">
      <c r="A52" s="291"/>
      <c r="B52" s="291"/>
      <c r="C52" s="291"/>
      <c r="D52" s="291"/>
      <c r="E52" s="291"/>
      <c r="F52" s="291"/>
      <c r="G52" s="291"/>
      <c r="H52" s="291"/>
      <c r="I52" s="291"/>
      <c r="J52" s="291"/>
      <c r="K52" s="291"/>
      <c r="L52" s="291"/>
      <c r="M52" s="291"/>
      <c r="N52" s="291"/>
      <c r="O52" s="291"/>
    </row>
    <row r="53" spans="1:15" s="284" customFormat="1" ht="18" customHeight="1" hidden="1">
      <c r="A53" s="291"/>
      <c r="B53" s="291"/>
      <c r="C53" s="291"/>
      <c r="D53" s="291"/>
      <c r="E53" s="291"/>
      <c r="F53" s="291"/>
      <c r="G53" s="291"/>
      <c r="H53" s="291"/>
      <c r="I53" s="291"/>
      <c r="J53" s="291"/>
      <c r="K53" s="291"/>
      <c r="L53" s="291"/>
      <c r="M53" s="291"/>
      <c r="N53" s="291"/>
      <c r="O53" s="291"/>
    </row>
    <row r="54" spans="1:15" s="284" customFormat="1" ht="18" customHeight="1" hidden="1">
      <c r="A54" s="291"/>
      <c r="B54" s="291"/>
      <c r="C54" s="291"/>
      <c r="D54" s="291"/>
      <c r="E54" s="291"/>
      <c r="F54" s="291"/>
      <c r="G54" s="291"/>
      <c r="H54" s="291"/>
      <c r="I54" s="291"/>
      <c r="J54" s="291"/>
      <c r="K54" s="291"/>
      <c r="L54" s="291"/>
      <c r="M54" s="291"/>
      <c r="N54" s="291"/>
      <c r="O54" s="291"/>
    </row>
    <row r="55" spans="1:15" s="284" customFormat="1" ht="18" customHeight="1" hidden="1">
      <c r="A55" s="291"/>
      <c r="B55" s="291"/>
      <c r="C55" s="291"/>
      <c r="D55" s="291"/>
      <c r="E55" s="291"/>
      <c r="F55" s="291"/>
      <c r="G55" s="291"/>
      <c r="H55" s="291"/>
      <c r="I55" s="291"/>
      <c r="J55" s="291"/>
      <c r="K55" s="291"/>
      <c r="L55" s="291"/>
      <c r="M55" s="291"/>
      <c r="N55" s="291"/>
      <c r="O55" s="291"/>
    </row>
    <row r="56" spans="1:15" s="284" customFormat="1" ht="18" customHeight="1" hidden="1">
      <c r="A56" s="291"/>
      <c r="B56" s="291"/>
      <c r="C56" s="291"/>
      <c r="D56" s="291"/>
      <c r="E56" s="291"/>
      <c r="F56" s="291"/>
      <c r="G56" s="291"/>
      <c r="H56" s="291"/>
      <c r="I56" s="291"/>
      <c r="J56" s="291"/>
      <c r="K56" s="291"/>
      <c r="L56" s="291"/>
      <c r="M56" s="291"/>
      <c r="N56" s="291"/>
      <c r="O56" s="291"/>
    </row>
    <row r="57" spans="1:15" s="284" customFormat="1" ht="18" customHeight="1" hidden="1">
      <c r="A57" s="291"/>
      <c r="B57" s="291"/>
      <c r="C57" s="291"/>
      <c r="D57" s="291"/>
      <c r="E57" s="291"/>
      <c r="F57" s="291"/>
      <c r="G57" s="291"/>
      <c r="H57" s="291"/>
      <c r="I57" s="291"/>
      <c r="J57" s="291"/>
      <c r="K57" s="291"/>
      <c r="L57" s="291"/>
      <c r="M57" s="291"/>
      <c r="N57" s="291"/>
      <c r="O57" s="291"/>
    </row>
    <row r="58" spans="1:15" s="284" customFormat="1" ht="18" customHeight="1" hidden="1">
      <c r="A58" s="291"/>
      <c r="B58" s="291"/>
      <c r="C58" s="291"/>
      <c r="D58" s="291"/>
      <c r="E58" s="291"/>
      <c r="F58" s="291"/>
      <c r="G58" s="291"/>
      <c r="H58" s="291"/>
      <c r="I58" s="291"/>
      <c r="J58" s="291"/>
      <c r="K58" s="291"/>
      <c r="L58" s="291"/>
      <c r="M58" s="291"/>
      <c r="N58" s="291"/>
      <c r="O58" s="291"/>
    </row>
    <row r="59" spans="1:15" s="284" customFormat="1" ht="18" customHeight="1" hidden="1">
      <c r="A59" s="291"/>
      <c r="B59" s="291"/>
      <c r="C59" s="291"/>
      <c r="D59" s="291"/>
      <c r="E59" s="291"/>
      <c r="F59" s="291"/>
      <c r="G59" s="291"/>
      <c r="H59" s="291"/>
      <c r="I59" s="291"/>
      <c r="J59" s="291"/>
      <c r="K59" s="291"/>
      <c r="L59" s="291"/>
      <c r="M59" s="291"/>
      <c r="N59" s="291"/>
      <c r="O59" s="291"/>
    </row>
    <row r="60" spans="1:15" s="284" customFormat="1" ht="18" customHeight="1" hidden="1">
      <c r="A60" s="291"/>
      <c r="B60" s="291"/>
      <c r="C60" s="291"/>
      <c r="D60" s="291"/>
      <c r="E60" s="291"/>
      <c r="F60" s="291"/>
      <c r="G60" s="291"/>
      <c r="H60" s="291"/>
      <c r="I60" s="291"/>
      <c r="J60" s="291"/>
      <c r="K60" s="291"/>
      <c r="L60" s="291"/>
      <c r="M60" s="291"/>
      <c r="N60" s="291"/>
      <c r="O60" s="291"/>
    </row>
    <row r="61" spans="1:15" s="284" customFormat="1" ht="18" customHeight="1" hidden="1">
      <c r="A61" s="291"/>
      <c r="B61" s="291"/>
      <c r="C61" s="291"/>
      <c r="D61" s="291"/>
      <c r="E61" s="291"/>
      <c r="F61" s="291"/>
      <c r="G61" s="291"/>
      <c r="H61" s="291"/>
      <c r="I61" s="291"/>
      <c r="J61" s="291"/>
      <c r="K61" s="291"/>
      <c r="L61" s="291"/>
      <c r="M61" s="291"/>
      <c r="N61" s="291"/>
      <c r="O61" s="291"/>
    </row>
    <row r="62" spans="1:15" s="284" customFormat="1" ht="18" customHeight="1" hidden="1">
      <c r="A62" s="291"/>
      <c r="B62" s="291"/>
      <c r="C62" s="291"/>
      <c r="D62" s="291"/>
      <c r="E62" s="291"/>
      <c r="F62" s="291"/>
      <c r="G62" s="291"/>
      <c r="H62" s="291"/>
      <c r="I62" s="291"/>
      <c r="J62" s="291"/>
      <c r="K62" s="291"/>
      <c r="L62" s="291"/>
      <c r="M62" s="291"/>
      <c r="N62" s="291"/>
      <c r="O62" s="291"/>
    </row>
    <row r="63" spans="1:15" s="284" customFormat="1" ht="18" customHeight="1" hidden="1">
      <c r="A63" s="291"/>
      <c r="B63" s="291"/>
      <c r="C63" s="291"/>
      <c r="D63" s="291"/>
      <c r="E63" s="291"/>
      <c r="F63" s="291"/>
      <c r="G63" s="291"/>
      <c r="H63" s="291"/>
      <c r="I63" s="291"/>
      <c r="J63" s="291"/>
      <c r="K63" s="291"/>
      <c r="L63" s="291"/>
      <c r="M63" s="291"/>
      <c r="N63" s="291"/>
      <c r="O63" s="291"/>
    </row>
    <row r="64" spans="1:15" s="284" customFormat="1" ht="18" customHeight="1" hidden="1">
      <c r="A64" s="291"/>
      <c r="B64" s="291"/>
      <c r="C64" s="291"/>
      <c r="D64" s="291"/>
      <c r="E64" s="291"/>
      <c r="F64" s="291"/>
      <c r="G64" s="291"/>
      <c r="H64" s="291"/>
      <c r="I64" s="291"/>
      <c r="J64" s="291"/>
      <c r="K64" s="291"/>
      <c r="L64" s="291"/>
      <c r="M64" s="291"/>
      <c r="N64" s="291"/>
      <c r="O64" s="291"/>
    </row>
    <row r="65" spans="1:15" s="284" customFormat="1" ht="18" customHeight="1" hidden="1">
      <c r="A65" s="291"/>
      <c r="B65" s="291"/>
      <c r="C65" s="291"/>
      <c r="D65" s="291"/>
      <c r="E65" s="291"/>
      <c r="F65" s="291"/>
      <c r="G65" s="291"/>
      <c r="H65" s="291"/>
      <c r="I65" s="291"/>
      <c r="J65" s="291"/>
      <c r="K65" s="291"/>
      <c r="L65" s="291"/>
      <c r="M65" s="291"/>
      <c r="N65" s="291"/>
      <c r="O65" s="291"/>
    </row>
    <row r="66" spans="1:15" s="284" customFormat="1" ht="18" customHeight="1" hidden="1">
      <c r="A66" s="291"/>
      <c r="B66" s="291"/>
      <c r="C66" s="291"/>
      <c r="D66" s="291"/>
      <c r="E66" s="291"/>
      <c r="F66" s="291"/>
      <c r="G66" s="291"/>
      <c r="H66" s="291"/>
      <c r="I66" s="291"/>
      <c r="J66" s="291"/>
      <c r="K66" s="291"/>
      <c r="L66" s="291"/>
      <c r="M66" s="291"/>
      <c r="N66" s="291"/>
      <c r="O66" s="291"/>
    </row>
    <row r="67" spans="1:15" s="284" customFormat="1" ht="18" customHeight="1" hidden="1">
      <c r="A67" s="291"/>
      <c r="B67" s="291"/>
      <c r="C67" s="291"/>
      <c r="D67" s="291"/>
      <c r="E67" s="291"/>
      <c r="F67" s="291"/>
      <c r="G67" s="291"/>
      <c r="H67" s="291"/>
      <c r="I67" s="291"/>
      <c r="J67" s="291"/>
      <c r="K67" s="291"/>
      <c r="L67" s="291"/>
      <c r="M67" s="291"/>
      <c r="N67" s="291"/>
      <c r="O67" s="291"/>
    </row>
    <row r="68" spans="1:15" s="284" customFormat="1" ht="18" customHeight="1" hidden="1">
      <c r="A68" s="291"/>
      <c r="B68" s="291"/>
      <c r="C68" s="291"/>
      <c r="D68" s="291"/>
      <c r="E68" s="291"/>
      <c r="F68" s="291"/>
      <c r="G68" s="291"/>
      <c r="H68" s="291"/>
      <c r="I68" s="291"/>
      <c r="J68" s="291"/>
      <c r="K68" s="291"/>
      <c r="L68" s="291"/>
      <c r="M68" s="291"/>
      <c r="N68" s="291"/>
      <c r="O68" s="291"/>
    </row>
    <row r="69" spans="1:15" s="284" customFormat="1" ht="18" customHeight="1" hidden="1">
      <c r="A69" s="291"/>
      <c r="B69" s="291"/>
      <c r="C69" s="291"/>
      <c r="D69" s="291"/>
      <c r="E69" s="291"/>
      <c r="F69" s="291"/>
      <c r="G69" s="291"/>
      <c r="H69" s="291"/>
      <c r="I69" s="291"/>
      <c r="J69" s="291"/>
      <c r="K69" s="291"/>
      <c r="L69" s="291"/>
      <c r="M69" s="291"/>
      <c r="N69" s="291"/>
      <c r="O69" s="291"/>
    </row>
    <row r="70" spans="1:15" s="284" customFormat="1" ht="18" customHeight="1" hidden="1">
      <c r="A70" s="291"/>
      <c r="B70" s="291"/>
      <c r="C70" s="291"/>
      <c r="D70" s="291"/>
      <c r="E70" s="291"/>
      <c r="F70" s="291"/>
      <c r="G70" s="291"/>
      <c r="H70" s="291"/>
      <c r="I70" s="291"/>
      <c r="J70" s="291"/>
      <c r="K70" s="291"/>
      <c r="L70" s="291"/>
      <c r="M70" s="291"/>
      <c r="N70" s="291"/>
      <c r="O70" s="291"/>
    </row>
    <row r="71" spans="1:15" s="284" customFormat="1" ht="18" customHeight="1" hidden="1">
      <c r="A71" s="291"/>
      <c r="B71" s="291"/>
      <c r="C71" s="291"/>
      <c r="D71" s="291"/>
      <c r="E71" s="291"/>
      <c r="F71" s="291"/>
      <c r="G71" s="291"/>
      <c r="H71" s="291"/>
      <c r="I71" s="291"/>
      <c r="J71" s="291"/>
      <c r="K71" s="291"/>
      <c r="L71" s="291"/>
      <c r="M71" s="291"/>
      <c r="N71" s="291"/>
      <c r="O71" s="291"/>
    </row>
    <row r="72" spans="1:15" s="284" customFormat="1" ht="18" customHeight="1" hidden="1">
      <c r="A72" s="291"/>
      <c r="B72" s="291"/>
      <c r="C72" s="291"/>
      <c r="D72" s="291"/>
      <c r="E72" s="291"/>
      <c r="F72" s="291"/>
      <c r="G72" s="291"/>
      <c r="H72" s="291"/>
      <c r="I72" s="291"/>
      <c r="J72" s="291"/>
      <c r="K72" s="291"/>
      <c r="L72" s="291"/>
      <c r="M72" s="291"/>
      <c r="N72" s="291"/>
      <c r="O72" s="291"/>
    </row>
    <row r="73" spans="1:15" s="284" customFormat="1" ht="18" customHeight="1" hidden="1">
      <c r="A73" s="291"/>
      <c r="B73" s="291"/>
      <c r="C73" s="291"/>
      <c r="D73" s="291"/>
      <c r="E73" s="291"/>
      <c r="F73" s="291"/>
      <c r="G73" s="291"/>
      <c r="H73" s="291"/>
      <c r="I73" s="291"/>
      <c r="J73" s="291"/>
      <c r="K73" s="291"/>
      <c r="L73" s="291"/>
      <c r="M73" s="291"/>
      <c r="N73" s="291"/>
      <c r="O73" s="291"/>
    </row>
    <row r="74" spans="1:15" s="284" customFormat="1" ht="18" customHeight="1" hidden="1">
      <c r="A74" s="291"/>
      <c r="B74" s="291"/>
      <c r="C74" s="291"/>
      <c r="D74" s="291"/>
      <c r="E74" s="291"/>
      <c r="F74" s="291"/>
      <c r="G74" s="291"/>
      <c r="H74" s="291"/>
      <c r="I74" s="291"/>
      <c r="J74" s="291"/>
      <c r="K74" s="291"/>
      <c r="L74" s="291"/>
      <c r="M74" s="291"/>
      <c r="N74" s="291"/>
      <c r="O74" s="291"/>
    </row>
    <row r="75" spans="1:15" s="284" customFormat="1" ht="18" customHeight="1" hidden="1">
      <c r="A75" s="291"/>
      <c r="B75" s="291"/>
      <c r="C75" s="291"/>
      <c r="D75" s="291"/>
      <c r="E75" s="291"/>
      <c r="F75" s="291"/>
      <c r="G75" s="291"/>
      <c r="H75" s="291"/>
      <c r="I75" s="291"/>
      <c r="J75" s="291"/>
      <c r="K75" s="291"/>
      <c r="L75" s="291"/>
      <c r="M75" s="291"/>
      <c r="N75" s="291"/>
      <c r="O75" s="291"/>
    </row>
    <row r="76" spans="1:15" s="284" customFormat="1" ht="18" customHeight="1" hidden="1">
      <c r="A76" s="291"/>
      <c r="B76" s="291"/>
      <c r="C76" s="291"/>
      <c r="D76" s="291"/>
      <c r="E76" s="291"/>
      <c r="F76" s="291"/>
      <c r="G76" s="291"/>
      <c r="H76" s="291"/>
      <c r="I76" s="291"/>
      <c r="J76" s="291"/>
      <c r="K76" s="291"/>
      <c r="L76" s="291"/>
      <c r="M76" s="291"/>
      <c r="N76" s="291"/>
      <c r="O76" s="291"/>
    </row>
    <row r="77" spans="1:15" s="284" customFormat="1" ht="18" customHeight="1" hidden="1">
      <c r="A77" s="291"/>
      <c r="B77" s="291"/>
      <c r="C77" s="291"/>
      <c r="D77" s="291"/>
      <c r="E77" s="291"/>
      <c r="F77" s="291"/>
      <c r="G77" s="291"/>
      <c r="H77" s="291"/>
      <c r="I77" s="291"/>
      <c r="J77" s="291"/>
      <c r="K77" s="291"/>
      <c r="L77" s="291"/>
      <c r="M77" s="291"/>
      <c r="N77" s="291"/>
      <c r="O77" s="291"/>
    </row>
    <row r="78" spans="1:15" s="284" customFormat="1" ht="18" customHeight="1" hidden="1">
      <c r="A78" s="291"/>
      <c r="B78" s="291"/>
      <c r="C78" s="291"/>
      <c r="D78" s="291"/>
      <c r="E78" s="291"/>
      <c r="F78" s="291"/>
      <c r="G78" s="291"/>
      <c r="H78" s="291"/>
      <c r="I78" s="291"/>
      <c r="J78" s="291"/>
      <c r="K78" s="291"/>
      <c r="L78" s="291"/>
      <c r="M78" s="291"/>
      <c r="N78" s="291"/>
      <c r="O78" s="291"/>
    </row>
    <row r="79" spans="1:15" s="284" customFormat="1" ht="18" customHeight="1" hidden="1">
      <c r="A79" s="291"/>
      <c r="B79" s="291"/>
      <c r="C79" s="291"/>
      <c r="D79" s="291"/>
      <c r="E79" s="291"/>
      <c r="F79" s="291"/>
      <c r="G79" s="291"/>
      <c r="H79" s="291"/>
      <c r="I79" s="291"/>
      <c r="J79" s="291"/>
      <c r="K79" s="291"/>
      <c r="L79" s="291"/>
      <c r="M79" s="291"/>
      <c r="N79" s="291"/>
      <c r="O79" s="291"/>
    </row>
    <row r="80" spans="1:15" s="284" customFormat="1" ht="18" customHeight="1" hidden="1">
      <c r="A80" s="291"/>
      <c r="B80" s="291"/>
      <c r="C80" s="291"/>
      <c r="D80" s="291"/>
      <c r="E80" s="291"/>
      <c r="F80" s="291"/>
      <c r="G80" s="291"/>
      <c r="H80" s="291"/>
      <c r="I80" s="291"/>
      <c r="J80" s="291"/>
      <c r="K80" s="291"/>
      <c r="L80" s="291"/>
      <c r="M80" s="291"/>
      <c r="N80" s="291"/>
      <c r="O80" s="291"/>
    </row>
    <row r="81" spans="1:15" s="284" customFormat="1" ht="18" customHeight="1" hidden="1">
      <c r="A81" s="291"/>
      <c r="B81" s="291"/>
      <c r="C81" s="291"/>
      <c r="D81" s="291"/>
      <c r="E81" s="291"/>
      <c r="F81" s="291"/>
      <c r="G81" s="291"/>
      <c r="H81" s="291"/>
      <c r="I81" s="291"/>
      <c r="J81" s="291"/>
      <c r="K81" s="291"/>
      <c r="L81" s="291"/>
      <c r="M81" s="291"/>
      <c r="N81" s="291"/>
      <c r="O81" s="291"/>
    </row>
    <row r="82" spans="1:15" s="284" customFormat="1" ht="18" customHeight="1" hidden="1">
      <c r="A82" s="291"/>
      <c r="B82" s="291"/>
      <c r="C82" s="291"/>
      <c r="D82" s="291"/>
      <c r="E82" s="291"/>
      <c r="F82" s="291"/>
      <c r="G82" s="291"/>
      <c r="H82" s="291"/>
      <c r="I82" s="291"/>
      <c r="J82" s="291"/>
      <c r="K82" s="291"/>
      <c r="L82" s="291"/>
      <c r="M82" s="291"/>
      <c r="N82" s="291"/>
      <c r="O82" s="291"/>
    </row>
    <row r="83" spans="1:15" s="284" customFormat="1" ht="18" customHeight="1" hidden="1">
      <c r="A83" s="291"/>
      <c r="B83" s="291"/>
      <c r="C83" s="291"/>
      <c r="D83" s="291"/>
      <c r="E83" s="291"/>
      <c r="F83" s="291"/>
      <c r="G83" s="291"/>
      <c r="H83" s="291"/>
      <c r="I83" s="291"/>
      <c r="J83" s="291"/>
      <c r="K83" s="291"/>
      <c r="L83" s="291"/>
      <c r="M83" s="291"/>
      <c r="N83" s="291"/>
      <c r="O83" s="291"/>
    </row>
    <row r="84" spans="1:15" s="284" customFormat="1" ht="18" customHeight="1" hidden="1">
      <c r="A84" s="291"/>
      <c r="B84" s="291"/>
      <c r="C84" s="291"/>
      <c r="D84" s="291"/>
      <c r="E84" s="291"/>
      <c r="F84" s="291"/>
      <c r="G84" s="291"/>
      <c r="H84" s="291"/>
      <c r="I84" s="291"/>
      <c r="J84" s="291"/>
      <c r="K84" s="291"/>
      <c r="L84" s="291"/>
      <c r="M84" s="291"/>
      <c r="N84" s="291"/>
      <c r="O84" s="291"/>
    </row>
    <row r="85" spans="1:15" s="284" customFormat="1" ht="18" customHeight="1" hidden="1">
      <c r="A85" s="291"/>
      <c r="B85" s="291"/>
      <c r="C85" s="291"/>
      <c r="D85" s="291"/>
      <c r="E85" s="291"/>
      <c r="F85" s="291"/>
      <c r="G85" s="291"/>
      <c r="H85" s="291"/>
      <c r="I85" s="291"/>
      <c r="J85" s="291"/>
      <c r="K85" s="291"/>
      <c r="L85" s="291"/>
      <c r="M85" s="291"/>
      <c r="N85" s="291"/>
      <c r="O85" s="291"/>
    </row>
    <row r="86" spans="1:15" s="284" customFormat="1" ht="18" customHeight="1" hidden="1">
      <c r="A86" s="291"/>
      <c r="B86" s="291"/>
      <c r="C86" s="291"/>
      <c r="D86" s="291"/>
      <c r="E86" s="291"/>
      <c r="F86" s="291"/>
      <c r="G86" s="291"/>
      <c r="H86" s="291"/>
      <c r="I86" s="291"/>
      <c r="J86" s="291"/>
      <c r="K86" s="291"/>
      <c r="L86" s="291"/>
      <c r="M86" s="291"/>
      <c r="N86" s="291"/>
      <c r="O86" s="291"/>
    </row>
    <row r="87" spans="1:15" s="284" customFormat="1" ht="18" customHeight="1" hidden="1">
      <c r="A87" s="291"/>
      <c r="B87" s="291"/>
      <c r="C87" s="291"/>
      <c r="D87" s="291"/>
      <c r="E87" s="291"/>
      <c r="F87" s="291"/>
      <c r="G87" s="291"/>
      <c r="H87" s="291"/>
      <c r="I87" s="291"/>
      <c r="J87" s="291"/>
      <c r="K87" s="291"/>
      <c r="L87" s="291"/>
      <c r="M87" s="291"/>
      <c r="N87" s="291"/>
      <c r="O87" s="291"/>
    </row>
    <row r="88" spans="1:15" s="284" customFormat="1" ht="18" customHeight="1" hidden="1">
      <c r="A88" s="291"/>
      <c r="B88" s="291"/>
      <c r="C88" s="291"/>
      <c r="D88" s="291"/>
      <c r="E88" s="291"/>
      <c r="F88" s="291"/>
      <c r="G88" s="291"/>
      <c r="H88" s="291"/>
      <c r="I88" s="291"/>
      <c r="J88" s="291"/>
      <c r="K88" s="291"/>
      <c r="L88" s="291"/>
      <c r="M88" s="291"/>
      <c r="N88" s="291"/>
      <c r="O88" s="291"/>
    </row>
    <row r="89" spans="1:15" s="284" customFormat="1" ht="18" customHeight="1" hidden="1">
      <c r="A89" s="291"/>
      <c r="B89" s="291"/>
      <c r="C89" s="291"/>
      <c r="D89" s="291"/>
      <c r="E89" s="291"/>
      <c r="F89" s="291"/>
      <c r="G89" s="291"/>
      <c r="H89" s="291"/>
      <c r="I89" s="291"/>
      <c r="J89" s="291"/>
      <c r="K89" s="291"/>
      <c r="L89" s="291"/>
      <c r="M89" s="291"/>
      <c r="N89" s="291"/>
      <c r="O89" s="291"/>
    </row>
    <row r="90" spans="1:15" s="284" customFormat="1" ht="18" customHeight="1" hidden="1">
      <c r="A90" s="291"/>
      <c r="B90" s="291"/>
      <c r="C90" s="291"/>
      <c r="D90" s="291"/>
      <c r="E90" s="291"/>
      <c r="F90" s="291"/>
      <c r="G90" s="291"/>
      <c r="H90" s="291"/>
      <c r="I90" s="291"/>
      <c r="J90" s="291"/>
      <c r="K90" s="291"/>
      <c r="L90" s="291"/>
      <c r="M90" s="291"/>
      <c r="N90" s="291"/>
      <c r="O90" s="291"/>
    </row>
    <row r="91" spans="1:15" s="284" customFormat="1" ht="18" customHeight="1" hidden="1">
      <c r="A91" s="291"/>
      <c r="B91" s="291"/>
      <c r="C91" s="291"/>
      <c r="D91" s="291"/>
      <c r="E91" s="291"/>
      <c r="F91" s="291"/>
      <c r="G91" s="291"/>
      <c r="H91" s="291"/>
      <c r="I91" s="291"/>
      <c r="J91" s="291"/>
      <c r="K91" s="291"/>
      <c r="L91" s="291"/>
      <c r="M91" s="291"/>
      <c r="N91" s="291"/>
      <c r="O91" s="291"/>
    </row>
    <row r="92" spans="1:15" s="284" customFormat="1" ht="18" customHeight="1" hidden="1">
      <c r="A92" s="291"/>
      <c r="B92" s="291"/>
      <c r="C92" s="291"/>
      <c r="D92" s="291"/>
      <c r="E92" s="291"/>
      <c r="F92" s="291"/>
      <c r="G92" s="291"/>
      <c r="H92" s="291"/>
      <c r="I92" s="291"/>
      <c r="J92" s="291"/>
      <c r="K92" s="291"/>
      <c r="L92" s="291"/>
      <c r="M92" s="291"/>
      <c r="N92" s="291"/>
      <c r="O92" s="291"/>
    </row>
    <row r="93" spans="1:15" s="284" customFormat="1" ht="18" customHeight="1" hidden="1">
      <c r="A93" s="291"/>
      <c r="B93" s="291"/>
      <c r="C93" s="291"/>
      <c r="D93" s="291"/>
      <c r="E93" s="291"/>
      <c r="F93" s="291"/>
      <c r="G93" s="291"/>
      <c r="H93" s="291"/>
      <c r="I93" s="291"/>
      <c r="J93" s="291"/>
      <c r="K93" s="291"/>
      <c r="L93" s="291"/>
      <c r="M93" s="291"/>
      <c r="N93" s="291"/>
      <c r="O93" s="291"/>
    </row>
    <row r="94" spans="1:15" s="284" customFormat="1" ht="18" customHeight="1" hidden="1">
      <c r="A94" s="291"/>
      <c r="B94" s="291"/>
      <c r="C94" s="291"/>
      <c r="D94" s="291"/>
      <c r="E94" s="291"/>
      <c r="F94" s="291"/>
      <c r="G94" s="291"/>
      <c r="H94" s="291"/>
      <c r="I94" s="291"/>
      <c r="J94" s="291"/>
      <c r="K94" s="291"/>
      <c r="L94" s="291"/>
      <c r="M94" s="291"/>
      <c r="N94" s="291"/>
      <c r="O94" s="291"/>
    </row>
    <row r="95" spans="1:15" s="284" customFormat="1" ht="18" customHeight="1" hidden="1">
      <c r="A95" s="291"/>
      <c r="B95" s="291"/>
      <c r="C95" s="291"/>
      <c r="D95" s="291"/>
      <c r="E95" s="291"/>
      <c r="F95" s="291"/>
      <c r="G95" s="291"/>
      <c r="H95" s="291"/>
      <c r="I95" s="291"/>
      <c r="J95" s="291"/>
      <c r="K95" s="291"/>
      <c r="L95" s="291"/>
      <c r="M95" s="291"/>
      <c r="N95" s="291"/>
      <c r="O95" s="291"/>
    </row>
    <row r="96" spans="1:15" s="284" customFormat="1" ht="18" customHeight="1" hidden="1">
      <c r="A96" s="291"/>
      <c r="B96" s="291"/>
      <c r="C96" s="291"/>
      <c r="D96" s="291"/>
      <c r="E96" s="291"/>
      <c r="F96" s="291"/>
      <c r="G96" s="291"/>
      <c r="H96" s="291"/>
      <c r="I96" s="291"/>
      <c r="J96" s="291"/>
      <c r="K96" s="291"/>
      <c r="L96" s="291"/>
      <c r="M96" s="291"/>
      <c r="N96" s="291"/>
      <c r="O96" s="291"/>
    </row>
    <row r="97" spans="1:15" s="284" customFormat="1" ht="18" customHeight="1" hidden="1">
      <c r="A97" s="291"/>
      <c r="B97" s="291"/>
      <c r="C97" s="291"/>
      <c r="D97" s="291"/>
      <c r="E97" s="291"/>
      <c r="F97" s="291"/>
      <c r="G97" s="291"/>
      <c r="H97" s="291"/>
      <c r="I97" s="291"/>
      <c r="J97" s="291"/>
      <c r="K97" s="291"/>
      <c r="L97" s="291"/>
      <c r="M97" s="291"/>
      <c r="N97" s="291"/>
      <c r="O97" s="291"/>
    </row>
    <row r="98" spans="1:15" s="284" customFormat="1" ht="18" customHeight="1" hidden="1">
      <c r="A98" s="291"/>
      <c r="B98" s="291"/>
      <c r="C98" s="291"/>
      <c r="D98" s="291"/>
      <c r="E98" s="291"/>
      <c r="F98" s="291"/>
      <c r="G98" s="291"/>
      <c r="H98" s="291"/>
      <c r="I98" s="291"/>
      <c r="J98" s="291"/>
      <c r="K98" s="291"/>
      <c r="L98" s="291"/>
      <c r="M98" s="291"/>
      <c r="N98" s="291"/>
      <c r="O98" s="291"/>
    </row>
    <row r="99" spans="1:15" s="284" customFormat="1" ht="18" customHeight="1" hidden="1">
      <c r="A99" s="291"/>
      <c r="B99" s="291"/>
      <c r="C99" s="291"/>
      <c r="D99" s="291"/>
      <c r="E99" s="291"/>
      <c r="F99" s="291"/>
      <c r="G99" s="291"/>
      <c r="H99" s="291"/>
      <c r="I99" s="291"/>
      <c r="J99" s="291"/>
      <c r="K99" s="291"/>
      <c r="L99" s="291"/>
      <c r="M99" s="291"/>
      <c r="N99" s="291"/>
      <c r="O99" s="291"/>
    </row>
    <row r="100" spans="1:15" s="284" customFormat="1" ht="18" customHeight="1" hidden="1">
      <c r="A100" s="291"/>
      <c r="B100" s="291"/>
      <c r="C100" s="291"/>
      <c r="D100" s="291"/>
      <c r="E100" s="291"/>
      <c r="F100" s="291"/>
      <c r="G100" s="291"/>
      <c r="H100" s="291"/>
      <c r="I100" s="291"/>
      <c r="J100" s="291"/>
      <c r="K100" s="291"/>
      <c r="L100" s="291"/>
      <c r="M100" s="291"/>
      <c r="N100" s="291"/>
      <c r="O100" s="291"/>
    </row>
    <row r="101" spans="1:15" s="284" customFormat="1" ht="18" customHeight="1" hidden="1">
      <c r="A101" s="291"/>
      <c r="B101" s="291"/>
      <c r="C101" s="291"/>
      <c r="D101" s="291"/>
      <c r="E101" s="291"/>
      <c r="F101" s="291"/>
      <c r="G101" s="291"/>
      <c r="H101" s="291"/>
      <c r="I101" s="291"/>
      <c r="J101" s="291"/>
      <c r="K101" s="291"/>
      <c r="L101" s="291"/>
      <c r="M101" s="291"/>
      <c r="N101" s="291"/>
      <c r="O101" s="291"/>
    </row>
    <row r="102" spans="1:15" s="284" customFormat="1" ht="18" customHeight="1" hidden="1">
      <c r="A102" s="291"/>
      <c r="B102" s="291"/>
      <c r="C102" s="291"/>
      <c r="D102" s="291"/>
      <c r="E102" s="291"/>
      <c r="F102" s="291"/>
      <c r="G102" s="291"/>
      <c r="H102" s="291"/>
      <c r="I102" s="291"/>
      <c r="J102" s="291"/>
      <c r="K102" s="291"/>
      <c r="L102" s="291"/>
      <c r="M102" s="291"/>
      <c r="N102" s="291"/>
      <c r="O102" s="291"/>
    </row>
    <row r="103" spans="1:15" s="284" customFormat="1" ht="18" customHeight="1" hidden="1">
      <c r="A103" s="291"/>
      <c r="B103" s="291"/>
      <c r="C103" s="291"/>
      <c r="D103" s="291"/>
      <c r="E103" s="291"/>
      <c r="F103" s="291"/>
      <c r="G103" s="291"/>
      <c r="H103" s="291"/>
      <c r="I103" s="291"/>
      <c r="J103" s="291"/>
      <c r="K103" s="291"/>
      <c r="L103" s="291"/>
      <c r="M103" s="291"/>
      <c r="N103" s="291"/>
      <c r="O103" s="291"/>
    </row>
    <row r="104" spans="1:15" s="284" customFormat="1" ht="18" customHeight="1" hidden="1">
      <c r="A104" s="291"/>
      <c r="B104" s="291"/>
      <c r="C104" s="291"/>
      <c r="D104" s="291"/>
      <c r="E104" s="291"/>
      <c r="F104" s="291"/>
      <c r="G104" s="291"/>
      <c r="H104" s="291"/>
      <c r="I104" s="291"/>
      <c r="J104" s="291"/>
      <c r="K104" s="291"/>
      <c r="L104" s="291"/>
      <c r="M104" s="291"/>
      <c r="N104" s="291"/>
      <c r="O104" s="291"/>
    </row>
    <row r="105" spans="1:15" s="284" customFormat="1" ht="18" customHeight="1" hidden="1">
      <c r="A105" s="291"/>
      <c r="B105" s="291"/>
      <c r="C105" s="291"/>
      <c r="D105" s="291"/>
      <c r="E105" s="291"/>
      <c r="F105" s="291"/>
      <c r="G105" s="291"/>
      <c r="H105" s="291"/>
      <c r="I105" s="291"/>
      <c r="J105" s="291"/>
      <c r="K105" s="291"/>
      <c r="L105" s="291"/>
      <c r="M105" s="291"/>
      <c r="N105" s="291"/>
      <c r="O105" s="291"/>
    </row>
    <row r="106" spans="1:15" s="284" customFormat="1" ht="18" customHeight="1" hidden="1">
      <c r="A106" s="291"/>
      <c r="B106" s="291"/>
      <c r="C106" s="291"/>
      <c r="D106" s="291"/>
      <c r="E106" s="291"/>
      <c r="F106" s="291"/>
      <c r="G106" s="291"/>
      <c r="H106" s="291"/>
      <c r="I106" s="291"/>
      <c r="J106" s="291"/>
      <c r="K106" s="291"/>
      <c r="L106" s="291"/>
      <c r="M106" s="291"/>
      <c r="N106" s="291"/>
      <c r="O106" s="291"/>
    </row>
    <row r="107" spans="1:15" s="284" customFormat="1" ht="18" customHeight="1" hidden="1">
      <c r="A107" s="291"/>
      <c r="B107" s="291"/>
      <c r="C107" s="291"/>
      <c r="D107" s="291"/>
      <c r="E107" s="291"/>
      <c r="F107" s="291"/>
      <c r="G107" s="291"/>
      <c r="H107" s="291"/>
      <c r="I107" s="291"/>
      <c r="J107" s="291"/>
      <c r="K107" s="291"/>
      <c r="L107" s="291"/>
      <c r="M107" s="291"/>
      <c r="N107" s="291"/>
      <c r="O107" s="291"/>
    </row>
    <row r="108" spans="1:15" s="284" customFormat="1" ht="18" customHeight="1" hidden="1">
      <c r="A108" s="291"/>
      <c r="B108" s="291"/>
      <c r="C108" s="291"/>
      <c r="D108" s="291"/>
      <c r="E108" s="291"/>
      <c r="F108" s="291"/>
      <c r="G108" s="291"/>
      <c r="H108" s="291"/>
      <c r="I108" s="291"/>
      <c r="J108" s="291"/>
      <c r="K108" s="291"/>
      <c r="L108" s="291"/>
      <c r="M108" s="291"/>
      <c r="N108" s="291"/>
      <c r="O108" s="291"/>
    </row>
    <row r="109" spans="1:15" s="284" customFormat="1" ht="18" customHeight="1" hidden="1">
      <c r="A109" s="291"/>
      <c r="B109" s="291"/>
      <c r="C109" s="291"/>
      <c r="D109" s="291"/>
      <c r="E109" s="291"/>
      <c r="F109" s="291"/>
      <c r="G109" s="291"/>
      <c r="H109" s="291"/>
      <c r="I109" s="291"/>
      <c r="J109" s="291"/>
      <c r="K109" s="291"/>
      <c r="L109" s="291"/>
      <c r="M109" s="291"/>
      <c r="N109" s="291"/>
      <c r="O109" s="291"/>
    </row>
    <row r="110" spans="1:15" s="284" customFormat="1" ht="18" customHeight="1" hidden="1">
      <c r="A110" s="291"/>
      <c r="B110" s="291"/>
      <c r="C110" s="291"/>
      <c r="D110" s="291"/>
      <c r="E110" s="291"/>
      <c r="F110" s="291"/>
      <c r="G110" s="291"/>
      <c r="H110" s="291"/>
      <c r="I110" s="291"/>
      <c r="J110" s="291"/>
      <c r="K110" s="291"/>
      <c r="L110" s="291"/>
      <c r="M110" s="291"/>
      <c r="N110" s="291"/>
      <c r="O110" s="291"/>
    </row>
    <row r="111" spans="1:15" s="284" customFormat="1" ht="18" customHeight="1" hidden="1">
      <c r="A111" s="291"/>
      <c r="B111" s="291"/>
      <c r="C111" s="291"/>
      <c r="D111" s="291"/>
      <c r="E111" s="291"/>
      <c r="F111" s="291"/>
      <c r="G111" s="291"/>
      <c r="H111" s="291"/>
      <c r="I111" s="291"/>
      <c r="J111" s="291"/>
      <c r="K111" s="291"/>
      <c r="L111" s="291"/>
      <c r="M111" s="291"/>
      <c r="N111" s="291"/>
      <c r="O111" s="291"/>
    </row>
    <row r="112" spans="1:15" s="284" customFormat="1" ht="18" customHeight="1" hidden="1">
      <c r="A112" s="291"/>
      <c r="B112" s="291"/>
      <c r="C112" s="291"/>
      <c r="D112" s="291"/>
      <c r="E112" s="291"/>
      <c r="F112" s="291"/>
      <c r="G112" s="291"/>
      <c r="H112" s="291"/>
      <c r="I112" s="291"/>
      <c r="J112" s="291"/>
      <c r="K112" s="291"/>
      <c r="L112" s="291"/>
      <c r="M112" s="291"/>
      <c r="N112" s="291"/>
      <c r="O112" s="291"/>
    </row>
    <row r="113" spans="1:15" s="284" customFormat="1" ht="18" customHeight="1" hidden="1">
      <c r="A113" s="291"/>
      <c r="B113" s="291"/>
      <c r="C113" s="291"/>
      <c r="D113" s="291"/>
      <c r="E113" s="291"/>
      <c r="F113" s="291"/>
      <c r="G113" s="291"/>
      <c r="H113" s="291"/>
      <c r="I113" s="291"/>
      <c r="J113" s="291"/>
      <c r="K113" s="291"/>
      <c r="L113" s="291"/>
      <c r="M113" s="291"/>
      <c r="N113" s="291"/>
      <c r="O113" s="291"/>
    </row>
    <row r="114" spans="1:15" s="284" customFormat="1" ht="18" customHeight="1" hidden="1">
      <c r="A114" s="291"/>
      <c r="B114" s="291"/>
      <c r="C114" s="291"/>
      <c r="D114" s="291"/>
      <c r="E114" s="291"/>
      <c r="F114" s="291"/>
      <c r="G114" s="291"/>
      <c r="H114" s="291"/>
      <c r="I114" s="291"/>
      <c r="J114" s="291"/>
      <c r="K114" s="291"/>
      <c r="L114" s="291"/>
      <c r="M114" s="291"/>
      <c r="N114" s="291"/>
      <c r="O114" s="291"/>
    </row>
    <row r="115" spans="1:15" s="284" customFormat="1" ht="18" customHeight="1" hidden="1">
      <c r="A115" s="291"/>
      <c r="B115" s="291"/>
      <c r="C115" s="291"/>
      <c r="D115" s="291"/>
      <c r="E115" s="291"/>
      <c r="F115" s="291"/>
      <c r="G115" s="291"/>
      <c r="H115" s="291"/>
      <c r="I115" s="291"/>
      <c r="J115" s="291"/>
      <c r="K115" s="291"/>
      <c r="L115" s="291"/>
      <c r="M115" s="291"/>
      <c r="N115" s="291"/>
      <c r="O115" s="291"/>
    </row>
    <row r="116" spans="1:15" s="284" customFormat="1" ht="18" customHeight="1" hidden="1">
      <c r="A116" s="291"/>
      <c r="B116" s="291"/>
      <c r="C116" s="291"/>
      <c r="D116" s="291"/>
      <c r="E116" s="291"/>
      <c r="F116" s="291"/>
      <c r="G116" s="291"/>
      <c r="H116" s="291"/>
      <c r="I116" s="291"/>
      <c r="J116" s="291"/>
      <c r="K116" s="291"/>
      <c r="L116" s="291"/>
      <c r="M116" s="291"/>
      <c r="N116" s="291"/>
      <c r="O116" s="291"/>
    </row>
    <row r="117" spans="1:15" s="284" customFormat="1" ht="18" customHeight="1" hidden="1">
      <c r="A117" s="291"/>
      <c r="B117" s="291"/>
      <c r="C117" s="291"/>
      <c r="D117" s="291"/>
      <c r="E117" s="291"/>
      <c r="F117" s="291"/>
      <c r="G117" s="291"/>
      <c r="H117" s="291"/>
      <c r="I117" s="291"/>
      <c r="J117" s="291"/>
      <c r="K117" s="291"/>
      <c r="L117" s="291"/>
      <c r="M117" s="291"/>
      <c r="N117" s="291"/>
      <c r="O117" s="291"/>
    </row>
    <row r="118" spans="1:15" s="284" customFormat="1" ht="18" customHeight="1" hidden="1">
      <c r="A118" s="291"/>
      <c r="B118" s="291"/>
      <c r="C118" s="291"/>
      <c r="D118" s="291"/>
      <c r="E118" s="291"/>
      <c r="F118" s="291"/>
      <c r="G118" s="291"/>
      <c r="H118" s="291"/>
      <c r="I118" s="291"/>
      <c r="J118" s="291"/>
      <c r="K118" s="291"/>
      <c r="L118" s="291"/>
      <c r="M118" s="291"/>
      <c r="N118" s="291"/>
      <c r="O118" s="291"/>
    </row>
    <row r="119" spans="1:15" s="284" customFormat="1" ht="18" customHeight="1" hidden="1">
      <c r="A119" s="291"/>
      <c r="B119" s="291"/>
      <c r="C119" s="291"/>
      <c r="D119" s="291"/>
      <c r="E119" s="291"/>
      <c r="F119" s="291"/>
      <c r="G119" s="291"/>
      <c r="H119" s="291"/>
      <c r="I119" s="291"/>
      <c r="J119" s="291"/>
      <c r="K119" s="291"/>
      <c r="L119" s="291"/>
      <c r="M119" s="291"/>
      <c r="N119" s="291"/>
      <c r="O119" s="291"/>
    </row>
    <row r="120" spans="1:15" s="284" customFormat="1" ht="18" customHeight="1" hidden="1">
      <c r="A120" s="291"/>
      <c r="B120" s="291"/>
      <c r="C120" s="291"/>
      <c r="D120" s="291"/>
      <c r="E120" s="291"/>
      <c r="F120" s="291"/>
      <c r="G120" s="291"/>
      <c r="H120" s="291"/>
      <c r="I120" s="291"/>
      <c r="J120" s="291"/>
      <c r="K120" s="291"/>
      <c r="L120" s="291"/>
      <c r="M120" s="291"/>
      <c r="N120" s="291"/>
      <c r="O120" s="291"/>
    </row>
    <row r="121" spans="1:15" s="284" customFormat="1" ht="18" customHeight="1" hidden="1">
      <c r="A121" s="291"/>
      <c r="B121" s="291"/>
      <c r="C121" s="291"/>
      <c r="D121" s="291"/>
      <c r="E121" s="291"/>
      <c r="F121" s="291"/>
      <c r="G121" s="291"/>
      <c r="H121" s="291"/>
      <c r="I121" s="291"/>
      <c r="J121" s="291"/>
      <c r="K121" s="291"/>
      <c r="L121" s="291"/>
      <c r="M121" s="291"/>
      <c r="N121" s="291"/>
      <c r="O121" s="291"/>
    </row>
    <row r="122" spans="1:15" s="284" customFormat="1" ht="18" customHeight="1" hidden="1">
      <c r="A122" s="291"/>
      <c r="B122" s="291"/>
      <c r="C122" s="291"/>
      <c r="D122" s="291"/>
      <c r="E122" s="291"/>
      <c r="F122" s="291"/>
      <c r="G122" s="291"/>
      <c r="H122" s="291"/>
      <c r="I122" s="291"/>
      <c r="J122" s="291"/>
      <c r="K122" s="291"/>
      <c r="L122" s="291"/>
      <c r="M122" s="291"/>
      <c r="N122" s="291"/>
      <c r="O122" s="291"/>
    </row>
    <row r="123" spans="1:15" s="284" customFormat="1" ht="18" customHeight="1" hidden="1">
      <c r="A123" s="291"/>
      <c r="B123" s="291"/>
      <c r="C123" s="291"/>
      <c r="D123" s="291"/>
      <c r="E123" s="291"/>
      <c r="F123" s="291"/>
      <c r="G123" s="291"/>
      <c r="H123" s="291"/>
      <c r="I123" s="291"/>
      <c r="J123" s="291"/>
      <c r="K123" s="291"/>
      <c r="L123" s="291"/>
      <c r="M123" s="291"/>
      <c r="N123" s="291"/>
      <c r="O123" s="291"/>
    </row>
    <row r="124" spans="1:15" s="284" customFormat="1" ht="18" customHeight="1" hidden="1">
      <c r="A124" s="291"/>
      <c r="B124" s="291"/>
      <c r="C124" s="291"/>
      <c r="D124" s="291"/>
      <c r="E124" s="291"/>
      <c r="F124" s="291"/>
      <c r="G124" s="291"/>
      <c r="H124" s="291"/>
      <c r="I124" s="291"/>
      <c r="J124" s="291"/>
      <c r="K124" s="291"/>
      <c r="L124" s="291"/>
      <c r="M124" s="291"/>
      <c r="N124" s="291"/>
      <c r="O124" s="291"/>
    </row>
    <row r="125" spans="1:15" s="284" customFormat="1" ht="18" customHeight="1" hidden="1">
      <c r="A125" s="291"/>
      <c r="B125" s="291"/>
      <c r="C125" s="291"/>
      <c r="D125" s="291"/>
      <c r="E125" s="291"/>
      <c r="F125" s="291"/>
      <c r="G125" s="291"/>
      <c r="H125" s="291"/>
      <c r="I125" s="291"/>
      <c r="J125" s="291"/>
      <c r="K125" s="291"/>
      <c r="L125" s="291"/>
      <c r="M125" s="291"/>
      <c r="N125" s="291"/>
      <c r="O125" s="291"/>
    </row>
    <row r="126" spans="1:15" s="284" customFormat="1" ht="18" customHeight="1" hidden="1">
      <c r="A126" s="291"/>
      <c r="B126" s="291"/>
      <c r="C126" s="291"/>
      <c r="D126" s="291"/>
      <c r="E126" s="291"/>
      <c r="F126" s="291"/>
      <c r="G126" s="291"/>
      <c r="H126" s="291"/>
      <c r="I126" s="291"/>
      <c r="J126" s="291"/>
      <c r="K126" s="291"/>
      <c r="L126" s="291"/>
      <c r="M126" s="291"/>
      <c r="N126" s="291"/>
      <c r="O126" s="291"/>
    </row>
    <row r="127" spans="1:15" s="284" customFormat="1" ht="18" customHeight="1" hidden="1">
      <c r="A127" s="291"/>
      <c r="B127" s="291"/>
      <c r="C127" s="291"/>
      <c r="D127" s="291"/>
      <c r="E127" s="291"/>
      <c r="F127" s="291"/>
      <c r="G127" s="291"/>
      <c r="H127" s="291"/>
      <c r="I127" s="291"/>
      <c r="J127" s="291"/>
      <c r="K127" s="291"/>
      <c r="L127" s="291"/>
      <c r="M127" s="291"/>
      <c r="N127" s="291"/>
      <c r="O127" s="291"/>
    </row>
    <row r="128" spans="1:15" s="284" customFormat="1" ht="18" customHeight="1" hidden="1">
      <c r="A128" s="291"/>
      <c r="B128" s="291"/>
      <c r="C128" s="291"/>
      <c r="D128" s="291"/>
      <c r="E128" s="291"/>
      <c r="F128" s="291"/>
      <c r="G128" s="291"/>
      <c r="H128" s="291"/>
      <c r="I128" s="291"/>
      <c r="J128" s="291"/>
      <c r="K128" s="291"/>
      <c r="L128" s="291"/>
      <c r="M128" s="291"/>
      <c r="N128" s="291"/>
      <c r="O128" s="291"/>
    </row>
    <row r="129" spans="1:15" s="284" customFormat="1" ht="18" customHeight="1" hidden="1">
      <c r="A129" s="291"/>
      <c r="B129" s="291"/>
      <c r="C129" s="291"/>
      <c r="D129" s="291"/>
      <c r="E129" s="291"/>
      <c r="F129" s="291"/>
      <c r="G129" s="291"/>
      <c r="H129" s="291"/>
      <c r="I129" s="291"/>
      <c r="J129" s="291"/>
      <c r="K129" s="291"/>
      <c r="L129" s="291"/>
      <c r="M129" s="291"/>
      <c r="N129" s="291"/>
      <c r="O129" s="291"/>
    </row>
    <row r="130" spans="1:15" s="284" customFormat="1" ht="18" customHeight="1" hidden="1">
      <c r="A130" s="291"/>
      <c r="B130" s="291"/>
      <c r="C130" s="291"/>
      <c r="D130" s="291"/>
      <c r="E130" s="291"/>
      <c r="F130" s="291"/>
      <c r="G130" s="291"/>
      <c r="H130" s="291"/>
      <c r="I130" s="291"/>
      <c r="J130" s="291"/>
      <c r="K130" s="291"/>
      <c r="L130" s="291"/>
      <c r="M130" s="291"/>
      <c r="N130" s="291"/>
      <c r="O130" s="291"/>
    </row>
    <row r="131" spans="1:15" s="284" customFormat="1" ht="18" customHeight="1" hidden="1">
      <c r="A131" s="291"/>
      <c r="B131" s="291"/>
      <c r="C131" s="291"/>
      <c r="D131" s="291"/>
      <c r="E131" s="291"/>
      <c r="F131" s="291"/>
      <c r="G131" s="291"/>
      <c r="H131" s="291"/>
      <c r="I131" s="291"/>
      <c r="J131" s="291"/>
      <c r="K131" s="291"/>
      <c r="L131" s="291"/>
      <c r="M131" s="291"/>
      <c r="N131" s="291"/>
      <c r="O131" s="291"/>
    </row>
    <row r="132" spans="1:15" s="284" customFormat="1" ht="18" customHeight="1" hidden="1">
      <c r="A132" s="291"/>
      <c r="B132" s="291"/>
      <c r="C132" s="291"/>
      <c r="D132" s="291"/>
      <c r="E132" s="291"/>
      <c r="F132" s="291"/>
      <c r="G132" s="291"/>
      <c r="H132" s="291"/>
      <c r="I132" s="291"/>
      <c r="J132" s="291"/>
      <c r="K132" s="291"/>
      <c r="L132" s="291"/>
      <c r="M132" s="291"/>
      <c r="N132" s="291"/>
      <c r="O132" s="291"/>
    </row>
    <row r="133" spans="1:15" s="284" customFormat="1" ht="18" customHeight="1" hidden="1">
      <c r="A133" s="291"/>
      <c r="B133" s="291"/>
      <c r="C133" s="291"/>
      <c r="D133" s="291"/>
      <c r="E133" s="291"/>
      <c r="F133" s="291"/>
      <c r="G133" s="291"/>
      <c r="H133" s="291"/>
      <c r="I133" s="291"/>
      <c r="J133" s="291"/>
      <c r="K133" s="291"/>
      <c r="L133" s="291"/>
      <c r="M133" s="291"/>
      <c r="N133" s="291"/>
      <c r="O133" s="291"/>
    </row>
    <row r="134" spans="1:15" s="284" customFormat="1" ht="18" customHeight="1" hidden="1">
      <c r="A134" s="291"/>
      <c r="B134" s="291"/>
      <c r="C134" s="291"/>
      <c r="D134" s="291"/>
      <c r="E134" s="291"/>
      <c r="F134" s="291"/>
      <c r="G134" s="291"/>
      <c r="H134" s="291"/>
      <c r="I134" s="291"/>
      <c r="J134" s="291"/>
      <c r="K134" s="291"/>
      <c r="L134" s="291"/>
      <c r="M134" s="291"/>
      <c r="N134" s="291"/>
      <c r="O134" s="291"/>
    </row>
    <row r="135" spans="1:15" s="284" customFormat="1" ht="18" customHeight="1" hidden="1">
      <c r="A135" s="291"/>
      <c r="B135" s="291"/>
      <c r="C135" s="291"/>
      <c r="D135" s="291"/>
      <c r="E135" s="291"/>
      <c r="F135" s="291"/>
      <c r="G135" s="291"/>
      <c r="H135" s="291"/>
      <c r="I135" s="291"/>
      <c r="J135" s="291"/>
      <c r="K135" s="291"/>
      <c r="L135" s="291"/>
      <c r="M135" s="291"/>
      <c r="N135" s="291"/>
      <c r="O135" s="291"/>
    </row>
    <row r="136" spans="1:15" s="284" customFormat="1" ht="18" customHeight="1" hidden="1">
      <c r="A136" s="291"/>
      <c r="B136" s="291"/>
      <c r="C136" s="291"/>
      <c r="D136" s="291"/>
      <c r="E136" s="291"/>
      <c r="F136" s="291"/>
      <c r="G136" s="291"/>
      <c r="H136" s="291"/>
      <c r="I136" s="291"/>
      <c r="J136" s="291"/>
      <c r="K136" s="291"/>
      <c r="L136" s="291"/>
      <c r="M136" s="291"/>
      <c r="N136" s="291"/>
      <c r="O136" s="291"/>
    </row>
    <row r="137" spans="1:15" s="284" customFormat="1" ht="18" customHeight="1" hidden="1">
      <c r="A137" s="291"/>
      <c r="B137" s="291"/>
      <c r="C137" s="291"/>
      <c r="D137" s="291"/>
      <c r="E137" s="291"/>
      <c r="F137" s="291"/>
      <c r="G137" s="291"/>
      <c r="H137" s="291"/>
      <c r="I137" s="291"/>
      <c r="J137" s="291"/>
      <c r="K137" s="291"/>
      <c r="L137" s="291"/>
      <c r="M137" s="291"/>
      <c r="N137" s="291"/>
      <c r="O137" s="291"/>
    </row>
    <row r="138" spans="1:15" s="284" customFormat="1" ht="18" customHeight="1" hidden="1">
      <c r="A138" s="291"/>
      <c r="B138" s="291"/>
      <c r="C138" s="291"/>
      <c r="D138" s="291"/>
      <c r="E138" s="291"/>
      <c r="F138" s="291"/>
      <c r="G138" s="291"/>
      <c r="H138" s="291"/>
      <c r="I138" s="291"/>
      <c r="J138" s="291"/>
      <c r="K138" s="291"/>
      <c r="L138" s="291"/>
      <c r="M138" s="291"/>
      <c r="N138" s="291"/>
      <c r="O138" s="291"/>
    </row>
    <row r="139" spans="1:15" s="284" customFormat="1" ht="18" customHeight="1" hidden="1">
      <c r="A139" s="291"/>
      <c r="B139" s="291"/>
      <c r="C139" s="291"/>
      <c r="D139" s="291"/>
      <c r="E139" s="291"/>
      <c r="F139" s="291"/>
      <c r="G139" s="291"/>
      <c r="H139" s="291"/>
      <c r="I139" s="291"/>
      <c r="J139" s="291"/>
      <c r="K139" s="291"/>
      <c r="L139" s="291"/>
      <c r="M139" s="291"/>
      <c r="N139" s="291"/>
      <c r="O139" s="291"/>
    </row>
    <row r="140" spans="1:15" s="284" customFormat="1" ht="18" customHeight="1" hidden="1">
      <c r="A140" s="291"/>
      <c r="B140" s="291"/>
      <c r="C140" s="291"/>
      <c r="D140" s="291"/>
      <c r="E140" s="291"/>
      <c r="F140" s="291"/>
      <c r="G140" s="291"/>
      <c r="H140" s="291"/>
      <c r="I140" s="291"/>
      <c r="J140" s="291"/>
      <c r="K140" s="291"/>
      <c r="L140" s="291"/>
      <c r="M140" s="291"/>
      <c r="N140" s="291"/>
      <c r="O140" s="291"/>
    </row>
    <row r="141" spans="1:15" s="284" customFormat="1" ht="18" customHeight="1" hidden="1">
      <c r="A141" s="291"/>
      <c r="B141" s="291"/>
      <c r="C141" s="291"/>
      <c r="D141" s="291"/>
      <c r="E141" s="291"/>
      <c r="F141" s="291"/>
      <c r="G141" s="291"/>
      <c r="H141" s="291"/>
      <c r="I141" s="291"/>
      <c r="J141" s="291"/>
      <c r="K141" s="291"/>
      <c r="L141" s="291"/>
      <c r="M141" s="291"/>
      <c r="N141" s="291"/>
      <c r="O141" s="291"/>
    </row>
    <row r="142" spans="1:15" s="284" customFormat="1" ht="18" customHeight="1" hidden="1">
      <c r="A142" s="291"/>
      <c r="B142" s="291"/>
      <c r="C142" s="291"/>
      <c r="D142" s="291"/>
      <c r="E142" s="291"/>
      <c r="F142" s="291"/>
      <c r="G142" s="291"/>
      <c r="H142" s="291"/>
      <c r="I142" s="291"/>
      <c r="J142" s="291"/>
      <c r="K142" s="291"/>
      <c r="L142" s="291"/>
      <c r="M142" s="291"/>
      <c r="N142" s="291"/>
      <c r="O142" s="291"/>
    </row>
    <row r="143" spans="1:15" s="284" customFormat="1" ht="18" customHeight="1" hidden="1">
      <c r="A143" s="291"/>
      <c r="B143" s="291"/>
      <c r="C143" s="291"/>
      <c r="D143" s="291"/>
      <c r="E143" s="291"/>
      <c r="F143" s="291"/>
      <c r="G143" s="291"/>
      <c r="H143" s="291"/>
      <c r="I143" s="291"/>
      <c r="J143" s="291"/>
      <c r="K143" s="291"/>
      <c r="L143" s="291"/>
      <c r="M143" s="291"/>
      <c r="N143" s="291"/>
      <c r="O143" s="291"/>
    </row>
    <row r="144" spans="1:15" s="284" customFormat="1" ht="18" customHeight="1" hidden="1">
      <c r="A144" s="291"/>
      <c r="B144" s="291"/>
      <c r="C144" s="291"/>
      <c r="D144" s="291"/>
      <c r="E144" s="291"/>
      <c r="F144" s="291"/>
      <c r="G144" s="291"/>
      <c r="H144" s="291"/>
      <c r="I144" s="291"/>
      <c r="J144" s="291"/>
      <c r="K144" s="291"/>
      <c r="L144" s="291"/>
      <c r="M144" s="291"/>
      <c r="N144" s="291"/>
      <c r="O144" s="291"/>
    </row>
    <row r="145" spans="1:15" s="284" customFormat="1" ht="18" customHeight="1" hidden="1">
      <c r="A145" s="291"/>
      <c r="B145" s="291"/>
      <c r="C145" s="291"/>
      <c r="D145" s="291"/>
      <c r="E145" s="291"/>
      <c r="F145" s="291"/>
      <c r="G145" s="291"/>
      <c r="H145" s="291"/>
      <c r="I145" s="291"/>
      <c r="J145" s="291"/>
      <c r="K145" s="291"/>
      <c r="L145" s="291"/>
      <c r="M145" s="291"/>
      <c r="N145" s="291"/>
      <c r="O145" s="291"/>
    </row>
    <row r="146" spans="1:15" s="284" customFormat="1" ht="18" customHeight="1" hidden="1">
      <c r="A146" s="291"/>
      <c r="B146" s="291"/>
      <c r="C146" s="291"/>
      <c r="D146" s="291"/>
      <c r="E146" s="291"/>
      <c r="F146" s="291"/>
      <c r="G146" s="291"/>
      <c r="H146" s="291"/>
      <c r="I146" s="291"/>
      <c r="J146" s="291"/>
      <c r="K146" s="291"/>
      <c r="L146" s="291"/>
      <c r="M146" s="291"/>
      <c r="N146" s="291"/>
      <c r="O146" s="291"/>
    </row>
    <row r="147" spans="1:15" s="284" customFormat="1" ht="18" customHeight="1" hidden="1">
      <c r="A147" s="291"/>
      <c r="B147" s="291"/>
      <c r="C147" s="291"/>
      <c r="D147" s="291"/>
      <c r="E147" s="291"/>
      <c r="F147" s="291"/>
      <c r="G147" s="291"/>
      <c r="H147" s="291"/>
      <c r="I147" s="291"/>
      <c r="J147" s="291"/>
      <c r="K147" s="291"/>
      <c r="L147" s="291"/>
      <c r="M147" s="291"/>
      <c r="N147" s="291"/>
      <c r="O147" s="291"/>
    </row>
    <row r="148" spans="1:15" s="284" customFormat="1" ht="18" customHeight="1" hidden="1">
      <c r="A148" s="291"/>
      <c r="B148" s="291"/>
      <c r="C148" s="291"/>
      <c r="D148" s="291"/>
      <c r="E148" s="291"/>
      <c r="F148" s="291"/>
      <c r="G148" s="291"/>
      <c r="H148" s="291"/>
      <c r="I148" s="291"/>
      <c r="J148" s="291"/>
      <c r="K148" s="291"/>
      <c r="L148" s="291"/>
      <c r="M148" s="291"/>
      <c r="N148" s="291"/>
      <c r="O148" s="291"/>
    </row>
    <row r="149" spans="1:15" s="284" customFormat="1" ht="18" customHeight="1" hidden="1">
      <c r="A149" s="291"/>
      <c r="B149" s="291"/>
      <c r="C149" s="291"/>
      <c r="D149" s="291"/>
      <c r="E149" s="291"/>
      <c r="F149" s="291"/>
      <c r="G149" s="291"/>
      <c r="H149" s="291"/>
      <c r="I149" s="291"/>
      <c r="J149" s="291"/>
      <c r="K149" s="291"/>
      <c r="L149" s="291"/>
      <c r="M149" s="291"/>
      <c r="N149" s="291"/>
      <c r="O149" s="291"/>
    </row>
    <row r="150" spans="1:15" s="284" customFormat="1" ht="18" customHeight="1" hidden="1">
      <c r="A150" s="291"/>
      <c r="B150" s="291"/>
      <c r="C150" s="291"/>
      <c r="D150" s="291"/>
      <c r="E150" s="291"/>
      <c r="F150" s="291"/>
      <c r="G150" s="291"/>
      <c r="H150" s="291"/>
      <c r="I150" s="291"/>
      <c r="J150" s="291"/>
      <c r="K150" s="291"/>
      <c r="L150" s="291"/>
      <c r="M150" s="291"/>
      <c r="N150" s="291"/>
      <c r="O150" s="291"/>
    </row>
    <row r="151" spans="1:15" s="284" customFormat="1" ht="18" customHeight="1" hidden="1">
      <c r="A151" s="291"/>
      <c r="B151" s="291"/>
      <c r="C151" s="291"/>
      <c r="D151" s="291"/>
      <c r="E151" s="291"/>
      <c r="F151" s="291"/>
      <c r="G151" s="291"/>
      <c r="H151" s="291"/>
      <c r="I151" s="291"/>
      <c r="J151" s="291"/>
      <c r="K151" s="291"/>
      <c r="L151" s="291"/>
      <c r="M151" s="291"/>
      <c r="N151" s="291"/>
      <c r="O151" s="291"/>
    </row>
    <row r="152" spans="1:15" s="284" customFormat="1" ht="18" customHeight="1" hidden="1">
      <c r="A152" s="291"/>
      <c r="B152" s="291"/>
      <c r="C152" s="291"/>
      <c r="D152" s="291"/>
      <c r="E152" s="291"/>
      <c r="F152" s="291"/>
      <c r="G152" s="291"/>
      <c r="H152" s="291"/>
      <c r="I152" s="291"/>
      <c r="J152" s="291"/>
      <c r="K152" s="291"/>
      <c r="L152" s="291"/>
      <c r="M152" s="291"/>
      <c r="N152" s="291"/>
      <c r="O152" s="291"/>
    </row>
    <row r="153" spans="1:15" s="284" customFormat="1" ht="18" customHeight="1" hidden="1">
      <c r="A153" s="291"/>
      <c r="B153" s="291"/>
      <c r="C153" s="291"/>
      <c r="D153" s="291"/>
      <c r="E153" s="291"/>
      <c r="F153" s="291"/>
      <c r="G153" s="291"/>
      <c r="H153" s="291"/>
      <c r="I153" s="291"/>
      <c r="J153" s="291"/>
      <c r="K153" s="291"/>
      <c r="L153" s="291"/>
      <c r="M153" s="291"/>
      <c r="N153" s="291"/>
      <c r="O153" s="291"/>
    </row>
    <row r="154" spans="1:15" s="284" customFormat="1" ht="18" customHeight="1" hidden="1">
      <c r="A154" s="291"/>
      <c r="B154" s="291"/>
      <c r="C154" s="291"/>
      <c r="D154" s="291"/>
      <c r="E154" s="291"/>
      <c r="F154" s="291"/>
      <c r="G154" s="291"/>
      <c r="H154" s="291"/>
      <c r="I154" s="291"/>
      <c r="J154" s="291"/>
      <c r="K154" s="291"/>
      <c r="L154" s="291"/>
      <c r="M154" s="291"/>
      <c r="N154" s="291"/>
      <c r="O154" s="291"/>
    </row>
    <row r="155" spans="1:15" s="284" customFormat="1" ht="18" customHeight="1" hidden="1">
      <c r="A155" s="291"/>
      <c r="B155" s="291"/>
      <c r="C155" s="291"/>
      <c r="D155" s="291"/>
      <c r="E155" s="291"/>
      <c r="F155" s="291"/>
      <c r="G155" s="291"/>
      <c r="H155" s="291"/>
      <c r="I155" s="291"/>
      <c r="J155" s="291"/>
      <c r="K155" s="291"/>
      <c r="L155" s="291"/>
      <c r="M155" s="291"/>
      <c r="N155" s="291"/>
      <c r="O155" s="291"/>
    </row>
    <row r="156" spans="1:15" s="284" customFormat="1" ht="18" customHeight="1" hidden="1">
      <c r="A156" s="291"/>
      <c r="B156" s="291"/>
      <c r="C156" s="291"/>
      <c r="D156" s="291"/>
      <c r="E156" s="291"/>
      <c r="F156" s="291"/>
      <c r="G156" s="291"/>
      <c r="H156" s="291"/>
      <c r="I156" s="291"/>
      <c r="J156" s="291"/>
      <c r="K156" s="291"/>
      <c r="L156" s="291"/>
      <c r="M156" s="291"/>
      <c r="N156" s="291"/>
      <c r="O156" s="291"/>
    </row>
    <row r="157" spans="1:15" s="284" customFormat="1" ht="18" customHeight="1" hidden="1">
      <c r="A157" s="291"/>
      <c r="B157" s="291"/>
      <c r="C157" s="291"/>
      <c r="D157" s="291"/>
      <c r="E157" s="291"/>
      <c r="F157" s="291"/>
      <c r="G157" s="291"/>
      <c r="H157" s="291"/>
      <c r="I157" s="291"/>
      <c r="J157" s="291"/>
      <c r="K157" s="291"/>
      <c r="L157" s="291"/>
      <c r="M157" s="291"/>
      <c r="N157" s="291"/>
      <c r="O157" s="291"/>
    </row>
    <row r="158" spans="1:15" s="284" customFormat="1" ht="18" customHeight="1" hidden="1">
      <c r="A158" s="291"/>
      <c r="B158" s="291"/>
      <c r="C158" s="291"/>
      <c r="D158" s="291"/>
      <c r="E158" s="291"/>
      <c r="F158" s="291"/>
      <c r="G158" s="291"/>
      <c r="H158" s="291"/>
      <c r="I158" s="291"/>
      <c r="J158" s="291"/>
      <c r="K158" s="291"/>
      <c r="L158" s="291"/>
      <c r="M158" s="291"/>
      <c r="N158" s="291"/>
      <c r="O158" s="291"/>
    </row>
    <row r="159" spans="1:15" s="284" customFormat="1" ht="18" customHeight="1" hidden="1">
      <c r="A159" s="291"/>
      <c r="B159" s="291"/>
      <c r="C159" s="291"/>
      <c r="D159" s="291"/>
      <c r="E159" s="291"/>
      <c r="F159" s="291"/>
      <c r="G159" s="291"/>
      <c r="H159" s="291"/>
      <c r="I159" s="291"/>
      <c r="J159" s="291"/>
      <c r="K159" s="291"/>
      <c r="L159" s="291"/>
      <c r="M159" s="291"/>
      <c r="N159" s="291"/>
      <c r="O159" s="291"/>
    </row>
    <row r="160" spans="1:15" s="284" customFormat="1" ht="18" customHeight="1" hidden="1">
      <c r="A160" s="291"/>
      <c r="B160" s="291"/>
      <c r="C160" s="291"/>
      <c r="D160" s="291"/>
      <c r="E160" s="291"/>
      <c r="F160" s="291"/>
      <c r="G160" s="291"/>
      <c r="H160" s="291"/>
      <c r="I160" s="291"/>
      <c r="J160" s="291"/>
      <c r="K160" s="291"/>
      <c r="L160" s="291"/>
      <c r="M160" s="291"/>
      <c r="N160" s="291"/>
      <c r="O160" s="291"/>
    </row>
    <row r="161" spans="1:15" s="284" customFormat="1" ht="18" customHeight="1" hidden="1">
      <c r="A161" s="291"/>
      <c r="B161" s="291"/>
      <c r="C161" s="291"/>
      <c r="D161" s="291"/>
      <c r="E161" s="291"/>
      <c r="F161" s="291"/>
      <c r="G161" s="291"/>
      <c r="H161" s="291"/>
      <c r="I161" s="291"/>
      <c r="J161" s="291"/>
      <c r="K161" s="291"/>
      <c r="L161" s="291"/>
      <c r="M161" s="291"/>
      <c r="N161" s="291"/>
      <c r="O161" s="291"/>
    </row>
    <row r="162" spans="1:15" s="284" customFormat="1" ht="18" customHeight="1" hidden="1">
      <c r="A162" s="291"/>
      <c r="B162" s="291"/>
      <c r="C162" s="291"/>
      <c r="D162" s="291"/>
      <c r="E162" s="291"/>
      <c r="F162" s="291"/>
      <c r="G162" s="291"/>
      <c r="H162" s="291"/>
      <c r="I162" s="291"/>
      <c r="J162" s="291"/>
      <c r="K162" s="291"/>
      <c r="L162" s="291"/>
      <c r="M162" s="291"/>
      <c r="N162" s="291"/>
      <c r="O162" s="291"/>
    </row>
    <row r="163" spans="1:15" s="284" customFormat="1" ht="18" customHeight="1" hidden="1">
      <c r="A163" s="291"/>
      <c r="B163" s="291"/>
      <c r="C163" s="291"/>
      <c r="D163" s="291"/>
      <c r="E163" s="291"/>
      <c r="F163" s="291"/>
      <c r="G163" s="291"/>
      <c r="H163" s="291"/>
      <c r="I163" s="291"/>
      <c r="J163" s="291"/>
      <c r="K163" s="291"/>
      <c r="L163" s="291"/>
      <c r="M163" s="291"/>
      <c r="N163" s="291"/>
      <c r="O163" s="291"/>
    </row>
    <row r="164" spans="1:15" s="284" customFormat="1" ht="18" customHeight="1" hidden="1">
      <c r="A164" s="291"/>
      <c r="B164" s="291"/>
      <c r="C164" s="291"/>
      <c r="D164" s="291"/>
      <c r="E164" s="291"/>
      <c r="F164" s="291"/>
      <c r="G164" s="291"/>
      <c r="H164" s="291"/>
      <c r="I164" s="291"/>
      <c r="J164" s="291"/>
      <c r="K164" s="291"/>
      <c r="L164" s="291"/>
      <c r="M164" s="291"/>
      <c r="N164" s="291"/>
      <c r="O164" s="291"/>
    </row>
    <row r="165" spans="1:15" s="284" customFormat="1" ht="18" customHeight="1" hidden="1">
      <c r="A165" s="291"/>
      <c r="B165" s="291"/>
      <c r="C165" s="291"/>
      <c r="D165" s="291"/>
      <c r="E165" s="291"/>
      <c r="F165" s="291"/>
      <c r="G165" s="291"/>
      <c r="H165" s="291"/>
      <c r="I165" s="291"/>
      <c r="J165" s="291"/>
      <c r="K165" s="291"/>
      <c r="L165" s="291"/>
      <c r="M165" s="291"/>
      <c r="N165" s="291"/>
      <c r="O165" s="291"/>
    </row>
    <row r="166" spans="1:15" s="284" customFormat="1" ht="18" customHeight="1" hidden="1">
      <c r="A166" s="291"/>
      <c r="B166" s="291"/>
      <c r="C166" s="291"/>
      <c r="D166" s="291"/>
      <c r="E166" s="291"/>
      <c r="F166" s="291"/>
      <c r="G166" s="291"/>
      <c r="H166" s="291"/>
      <c r="I166" s="291"/>
      <c r="J166" s="291"/>
      <c r="K166" s="291"/>
      <c r="L166" s="291"/>
      <c r="M166" s="291"/>
      <c r="N166" s="291"/>
      <c r="O166" s="291"/>
    </row>
    <row r="167" spans="1:15" s="284" customFormat="1" ht="18" customHeight="1" hidden="1">
      <c r="A167" s="291"/>
      <c r="B167" s="291"/>
      <c r="C167" s="291"/>
      <c r="D167" s="291"/>
      <c r="E167" s="291"/>
      <c r="F167" s="291"/>
      <c r="G167" s="291"/>
      <c r="H167" s="291"/>
      <c r="I167" s="291"/>
      <c r="J167" s="291"/>
      <c r="K167" s="291"/>
      <c r="L167" s="291"/>
      <c r="M167" s="291"/>
      <c r="N167" s="291"/>
      <c r="O167" s="291"/>
    </row>
    <row r="168" spans="1:15" s="284" customFormat="1" ht="18" customHeight="1" hidden="1">
      <c r="A168" s="291"/>
      <c r="B168" s="291"/>
      <c r="C168" s="291"/>
      <c r="D168" s="291"/>
      <c r="E168" s="291"/>
      <c r="F168" s="291"/>
      <c r="G168" s="291"/>
      <c r="H168" s="291"/>
      <c r="I168" s="291"/>
      <c r="J168" s="291"/>
      <c r="K168" s="291"/>
      <c r="L168" s="291"/>
      <c r="M168" s="291"/>
      <c r="N168" s="291"/>
      <c r="O168" s="291"/>
    </row>
    <row r="169" spans="1:15" s="284" customFormat="1" ht="18" customHeight="1" hidden="1">
      <c r="A169" s="291"/>
      <c r="B169" s="291"/>
      <c r="C169" s="291"/>
      <c r="D169" s="291"/>
      <c r="E169" s="291"/>
      <c r="F169" s="291"/>
      <c r="G169" s="291"/>
      <c r="H169" s="291"/>
      <c r="I169" s="291"/>
      <c r="J169" s="291"/>
      <c r="K169" s="291"/>
      <c r="L169" s="291"/>
      <c r="M169" s="291"/>
      <c r="N169" s="291"/>
      <c r="O169" s="291"/>
    </row>
    <row r="170" spans="1:15" s="284" customFormat="1" ht="18" customHeight="1" hidden="1">
      <c r="A170" s="291"/>
      <c r="B170" s="291"/>
      <c r="C170" s="291"/>
      <c r="D170" s="291"/>
      <c r="E170" s="291"/>
      <c r="F170" s="291"/>
      <c r="G170" s="291"/>
      <c r="H170" s="291"/>
      <c r="I170" s="291"/>
      <c r="J170" s="291"/>
      <c r="K170" s="291"/>
      <c r="L170" s="291"/>
      <c r="M170" s="291"/>
      <c r="N170" s="291"/>
      <c r="O170" s="291"/>
    </row>
    <row r="171" spans="1:15" s="284" customFormat="1" ht="18" customHeight="1" hidden="1">
      <c r="A171" s="291"/>
      <c r="B171" s="291"/>
      <c r="C171" s="291"/>
      <c r="D171" s="291"/>
      <c r="E171" s="291"/>
      <c r="F171" s="291"/>
      <c r="G171" s="291"/>
      <c r="H171" s="291"/>
      <c r="I171" s="291"/>
      <c r="J171" s="291"/>
      <c r="K171" s="291"/>
      <c r="L171" s="291"/>
      <c r="M171" s="291"/>
      <c r="N171" s="291"/>
      <c r="O171" s="291"/>
    </row>
    <row r="172" spans="1:15" s="284" customFormat="1" ht="18" customHeight="1" hidden="1">
      <c r="A172" s="291"/>
      <c r="B172" s="291"/>
      <c r="C172" s="291"/>
      <c r="D172" s="291"/>
      <c r="E172" s="291"/>
      <c r="F172" s="291"/>
      <c r="G172" s="291"/>
      <c r="H172" s="291"/>
      <c r="I172" s="291"/>
      <c r="J172" s="291"/>
      <c r="K172" s="291"/>
      <c r="L172" s="291"/>
      <c r="M172" s="291"/>
      <c r="N172" s="291"/>
      <c r="O172" s="291"/>
    </row>
    <row r="173" spans="1:15" s="284" customFormat="1" ht="18" customHeight="1" hidden="1">
      <c r="A173" s="291"/>
      <c r="B173" s="291"/>
      <c r="C173" s="291"/>
      <c r="D173" s="291"/>
      <c r="E173" s="291"/>
      <c r="F173" s="291"/>
      <c r="G173" s="291"/>
      <c r="H173" s="291"/>
      <c r="I173" s="291"/>
      <c r="J173" s="291"/>
      <c r="K173" s="291"/>
      <c r="L173" s="291"/>
      <c r="M173" s="291"/>
      <c r="N173" s="291"/>
      <c r="O173" s="291"/>
    </row>
    <row r="174" spans="1:15" s="284" customFormat="1" ht="18" customHeight="1" hidden="1">
      <c r="A174" s="291"/>
      <c r="B174" s="291"/>
      <c r="C174" s="291"/>
      <c r="D174" s="291"/>
      <c r="E174" s="291"/>
      <c r="F174" s="291"/>
      <c r="G174" s="291"/>
      <c r="H174" s="291"/>
      <c r="I174" s="291"/>
      <c r="J174" s="291"/>
      <c r="K174" s="291"/>
      <c r="L174" s="291"/>
      <c r="M174" s="291"/>
      <c r="N174" s="291"/>
      <c r="O174" s="291"/>
    </row>
    <row r="175" spans="1:15" s="284" customFormat="1" ht="18" customHeight="1" hidden="1">
      <c r="A175" s="291"/>
      <c r="B175" s="291"/>
      <c r="C175" s="291"/>
      <c r="D175" s="291"/>
      <c r="E175" s="291"/>
      <c r="F175" s="291"/>
      <c r="G175" s="291"/>
      <c r="H175" s="291"/>
      <c r="I175" s="291"/>
      <c r="J175" s="291"/>
      <c r="K175" s="291"/>
      <c r="L175" s="291"/>
      <c r="M175" s="291"/>
      <c r="N175" s="291"/>
      <c r="O175" s="291"/>
    </row>
    <row r="176" spans="1:15" s="284" customFormat="1" ht="18" customHeight="1" hidden="1">
      <c r="A176" s="291"/>
      <c r="B176" s="291"/>
      <c r="C176" s="291"/>
      <c r="D176" s="291"/>
      <c r="E176" s="291"/>
      <c r="F176" s="291"/>
      <c r="G176" s="291"/>
      <c r="H176" s="291"/>
      <c r="I176" s="291"/>
      <c r="J176" s="291"/>
      <c r="K176" s="291"/>
      <c r="L176" s="291"/>
      <c r="M176" s="291"/>
      <c r="N176" s="291"/>
      <c r="O176" s="291"/>
    </row>
    <row r="177" spans="1:15" s="284" customFormat="1" ht="18" customHeight="1" hidden="1">
      <c r="A177" s="291"/>
      <c r="B177" s="291"/>
      <c r="C177" s="291"/>
      <c r="D177" s="291"/>
      <c r="E177" s="291"/>
      <c r="F177" s="291"/>
      <c r="G177" s="291"/>
      <c r="H177" s="291"/>
      <c r="I177" s="291"/>
      <c r="J177" s="291"/>
      <c r="K177" s="291"/>
      <c r="L177" s="291"/>
      <c r="M177" s="291"/>
      <c r="N177" s="291"/>
      <c r="O177" s="291"/>
    </row>
    <row r="178" spans="1:15" s="284" customFormat="1" ht="18" customHeight="1" hidden="1">
      <c r="A178" s="291"/>
      <c r="B178" s="291"/>
      <c r="C178" s="291"/>
      <c r="D178" s="291"/>
      <c r="E178" s="291"/>
      <c r="F178" s="291"/>
      <c r="G178" s="291"/>
      <c r="H178" s="291"/>
      <c r="I178" s="291"/>
      <c r="J178" s="291"/>
      <c r="K178" s="291"/>
      <c r="L178" s="291"/>
      <c r="M178" s="291"/>
      <c r="N178" s="291"/>
      <c r="O178" s="291"/>
    </row>
    <row r="179" spans="1:15" s="284" customFormat="1" ht="18" customHeight="1" hidden="1">
      <c r="A179" s="291"/>
      <c r="B179" s="291"/>
      <c r="C179" s="291"/>
      <c r="D179" s="291"/>
      <c r="E179" s="291"/>
      <c r="F179" s="291"/>
      <c r="G179" s="291"/>
      <c r="H179" s="291"/>
      <c r="I179" s="291"/>
      <c r="J179" s="291"/>
      <c r="K179" s="291"/>
      <c r="L179" s="291"/>
      <c r="M179" s="291"/>
      <c r="N179" s="291"/>
      <c r="O179" s="291"/>
    </row>
    <row r="180" spans="1:15" s="284" customFormat="1" ht="18" customHeight="1" hidden="1">
      <c r="A180" s="291"/>
      <c r="B180" s="291"/>
      <c r="C180" s="291"/>
      <c r="D180" s="291"/>
      <c r="E180" s="291"/>
      <c r="F180" s="291"/>
      <c r="G180" s="291"/>
      <c r="H180" s="291"/>
      <c r="I180" s="291"/>
      <c r="J180" s="291"/>
      <c r="K180" s="291"/>
      <c r="L180" s="291"/>
      <c r="M180" s="291"/>
      <c r="N180" s="291"/>
      <c r="O180" s="291"/>
    </row>
    <row r="181" spans="1:15" s="284" customFormat="1" ht="18" customHeight="1" hidden="1">
      <c r="A181" s="291"/>
      <c r="B181" s="291"/>
      <c r="C181" s="291"/>
      <c r="D181" s="291"/>
      <c r="E181" s="291"/>
      <c r="F181" s="291"/>
      <c r="G181" s="291"/>
      <c r="H181" s="291"/>
      <c r="I181" s="291"/>
      <c r="J181" s="291"/>
      <c r="K181" s="291"/>
      <c r="L181" s="291"/>
      <c r="M181" s="291"/>
      <c r="N181" s="291"/>
      <c r="O181" s="291"/>
    </row>
    <row r="182" spans="1:15" s="284" customFormat="1" ht="18" customHeight="1" hidden="1">
      <c r="A182" s="291"/>
      <c r="B182" s="291"/>
      <c r="C182" s="291"/>
      <c r="D182" s="291"/>
      <c r="E182" s="291"/>
      <c r="F182" s="291"/>
      <c r="G182" s="291"/>
      <c r="H182" s="291"/>
      <c r="I182" s="291"/>
      <c r="J182" s="291"/>
      <c r="K182" s="291"/>
      <c r="L182" s="291"/>
      <c r="M182" s="291"/>
      <c r="N182" s="291"/>
      <c r="O182" s="291"/>
    </row>
    <row r="183" spans="1:15" s="284" customFormat="1" ht="18" customHeight="1" hidden="1">
      <c r="A183" s="291"/>
      <c r="B183" s="291"/>
      <c r="C183" s="291"/>
      <c r="D183" s="291"/>
      <c r="E183" s="291"/>
      <c r="F183" s="291"/>
      <c r="G183" s="291"/>
      <c r="H183" s="291"/>
      <c r="I183" s="291"/>
      <c r="J183" s="291"/>
      <c r="K183" s="291"/>
      <c r="L183" s="291"/>
      <c r="M183" s="291"/>
      <c r="N183" s="291"/>
      <c r="O183" s="291"/>
    </row>
    <row r="184" spans="1:15" s="284" customFormat="1" ht="18" customHeight="1" hidden="1">
      <c r="A184" s="291"/>
      <c r="B184" s="291"/>
      <c r="C184" s="291"/>
      <c r="D184" s="291"/>
      <c r="E184" s="291"/>
      <c r="F184" s="291"/>
      <c r="G184" s="291"/>
      <c r="H184" s="291"/>
      <c r="I184" s="291"/>
      <c r="J184" s="291"/>
      <c r="K184" s="291"/>
      <c r="L184" s="291"/>
      <c r="M184" s="291"/>
      <c r="N184" s="291"/>
      <c r="O184" s="291"/>
    </row>
    <row r="185" spans="1:15" s="284" customFormat="1" ht="18" customHeight="1" hidden="1">
      <c r="A185" s="291"/>
      <c r="B185" s="291"/>
      <c r="C185" s="291"/>
      <c r="D185" s="291"/>
      <c r="E185" s="291"/>
      <c r="F185" s="291"/>
      <c r="G185" s="291"/>
      <c r="H185" s="291"/>
      <c r="I185" s="291"/>
      <c r="J185" s="291"/>
      <c r="K185" s="291"/>
      <c r="L185" s="291"/>
      <c r="M185" s="291"/>
      <c r="N185" s="291"/>
      <c r="O185" s="291"/>
    </row>
    <row r="186" spans="1:15" s="284" customFormat="1" ht="18" customHeight="1" hidden="1">
      <c r="A186" s="291"/>
      <c r="B186" s="291"/>
      <c r="C186" s="291"/>
      <c r="D186" s="291"/>
      <c r="E186" s="291"/>
      <c r="F186" s="291"/>
      <c r="G186" s="291"/>
      <c r="H186" s="291"/>
      <c r="I186" s="291"/>
      <c r="J186" s="291"/>
      <c r="K186" s="291"/>
      <c r="L186" s="291"/>
      <c r="M186" s="291"/>
      <c r="N186" s="291"/>
      <c r="O186" s="291"/>
    </row>
    <row r="187" spans="1:15" s="284" customFormat="1" ht="18" customHeight="1" hidden="1">
      <c r="A187" s="291"/>
      <c r="B187" s="291"/>
      <c r="C187" s="291"/>
      <c r="D187" s="291"/>
      <c r="E187" s="291"/>
      <c r="F187" s="291"/>
      <c r="G187" s="291"/>
      <c r="H187" s="291"/>
      <c r="I187" s="291"/>
      <c r="J187" s="291"/>
      <c r="K187" s="291"/>
      <c r="L187" s="291"/>
      <c r="M187" s="291"/>
      <c r="N187" s="291"/>
      <c r="O187" s="291"/>
    </row>
    <row r="188" spans="1:15" s="284" customFormat="1" ht="18" customHeight="1" hidden="1">
      <c r="A188" s="291"/>
      <c r="B188" s="291"/>
      <c r="C188" s="291"/>
      <c r="D188" s="291"/>
      <c r="E188" s="291"/>
      <c r="F188" s="291"/>
      <c r="G188" s="291"/>
      <c r="H188" s="291"/>
      <c r="I188" s="291"/>
      <c r="J188" s="291"/>
      <c r="K188" s="291"/>
      <c r="L188" s="291"/>
      <c r="M188" s="291"/>
      <c r="N188" s="291"/>
      <c r="O188" s="291"/>
    </row>
    <row r="189" spans="1:15" s="284" customFormat="1" ht="18" customHeight="1" hidden="1">
      <c r="A189" s="291"/>
      <c r="B189" s="291"/>
      <c r="C189" s="291"/>
      <c r="D189" s="291"/>
      <c r="E189" s="291"/>
      <c r="F189" s="291"/>
      <c r="G189" s="291"/>
      <c r="H189" s="291"/>
      <c r="I189" s="291"/>
      <c r="J189" s="291"/>
      <c r="K189" s="291"/>
      <c r="L189" s="291"/>
      <c r="M189" s="291"/>
      <c r="N189" s="291"/>
      <c r="O189" s="291"/>
    </row>
    <row r="190" spans="1:15" s="284" customFormat="1" ht="18" customHeight="1" hidden="1">
      <c r="A190" s="291"/>
      <c r="B190" s="291"/>
      <c r="C190" s="291"/>
      <c r="D190" s="291"/>
      <c r="E190" s="291"/>
      <c r="F190" s="291"/>
      <c r="G190" s="291"/>
      <c r="H190" s="291"/>
      <c r="I190" s="291"/>
      <c r="J190" s="291"/>
      <c r="K190" s="291"/>
      <c r="L190" s="291"/>
      <c r="M190" s="291"/>
      <c r="N190" s="291"/>
      <c r="O190" s="291"/>
    </row>
    <row r="191" spans="1:15" s="284" customFormat="1" ht="18" customHeight="1" hidden="1">
      <c r="A191" s="291"/>
      <c r="B191" s="291"/>
      <c r="C191" s="291"/>
      <c r="D191" s="291"/>
      <c r="E191" s="291"/>
      <c r="F191" s="291"/>
      <c r="G191" s="291"/>
      <c r="H191" s="291"/>
      <c r="I191" s="291"/>
      <c r="J191" s="291"/>
      <c r="K191" s="291"/>
      <c r="L191" s="291"/>
      <c r="M191" s="291"/>
      <c r="N191" s="291"/>
      <c r="O191" s="291"/>
    </row>
    <row r="192" spans="1:15" s="284" customFormat="1" ht="18" customHeight="1" hidden="1">
      <c r="A192" s="291"/>
      <c r="B192" s="291"/>
      <c r="C192" s="291"/>
      <c r="D192" s="291"/>
      <c r="E192" s="291"/>
      <c r="F192" s="291"/>
      <c r="G192" s="291"/>
      <c r="H192" s="291"/>
      <c r="I192" s="291"/>
      <c r="J192" s="291"/>
      <c r="K192" s="291"/>
      <c r="L192" s="291"/>
      <c r="M192" s="291"/>
      <c r="N192" s="291"/>
      <c r="O192" s="291"/>
    </row>
    <row r="193" spans="1:15" s="284" customFormat="1" ht="18" customHeight="1" hidden="1">
      <c r="A193" s="291"/>
      <c r="B193" s="291"/>
      <c r="C193" s="291"/>
      <c r="D193" s="291"/>
      <c r="E193" s="291"/>
      <c r="F193" s="291"/>
      <c r="G193" s="291"/>
      <c r="H193" s="291"/>
      <c r="I193" s="291"/>
      <c r="J193" s="291"/>
      <c r="K193" s="291"/>
      <c r="L193" s="291"/>
      <c r="M193" s="291"/>
      <c r="N193" s="291"/>
      <c r="O193" s="291"/>
    </row>
    <row r="194" spans="1:15" s="284" customFormat="1" ht="18" customHeight="1" hidden="1">
      <c r="A194" s="291"/>
      <c r="B194" s="291"/>
      <c r="C194" s="291"/>
      <c r="D194" s="291"/>
      <c r="E194" s="291"/>
      <c r="F194" s="291"/>
      <c r="G194" s="291"/>
      <c r="H194" s="291"/>
      <c r="I194" s="291"/>
      <c r="J194" s="291"/>
      <c r="K194" s="291"/>
      <c r="L194" s="291"/>
      <c r="M194" s="291"/>
      <c r="N194" s="291"/>
      <c r="O194" s="291"/>
    </row>
    <row r="195" spans="1:15" s="284" customFormat="1" ht="18" customHeight="1" hidden="1">
      <c r="A195" s="291"/>
      <c r="B195" s="291"/>
      <c r="C195" s="291"/>
      <c r="D195" s="291"/>
      <c r="E195" s="291"/>
      <c r="F195" s="291"/>
      <c r="G195" s="291"/>
      <c r="H195" s="291"/>
      <c r="I195" s="291"/>
      <c r="J195" s="291"/>
      <c r="K195" s="291"/>
      <c r="L195" s="291"/>
      <c r="M195" s="291"/>
      <c r="N195" s="291"/>
      <c r="O195" s="291"/>
    </row>
    <row r="196" spans="1:15" s="284" customFormat="1" ht="18" customHeight="1" hidden="1">
      <c r="A196" s="291"/>
      <c r="B196" s="291"/>
      <c r="C196" s="291"/>
      <c r="D196" s="291"/>
      <c r="E196" s="291"/>
      <c r="F196" s="291"/>
      <c r="G196" s="291"/>
      <c r="H196" s="291"/>
      <c r="I196" s="291"/>
      <c r="J196" s="291"/>
      <c r="K196" s="291"/>
      <c r="L196" s="291"/>
      <c r="M196" s="291"/>
      <c r="N196" s="291"/>
      <c r="O196" s="291"/>
    </row>
    <row r="197" spans="1:15" s="284" customFormat="1" ht="18" customHeight="1" hidden="1">
      <c r="A197" s="291"/>
      <c r="B197" s="291"/>
      <c r="C197" s="291"/>
      <c r="D197" s="291"/>
      <c r="E197" s="291"/>
      <c r="F197" s="291"/>
      <c r="G197" s="291"/>
      <c r="H197" s="291"/>
      <c r="I197" s="291"/>
      <c r="J197" s="291"/>
      <c r="K197" s="291"/>
      <c r="L197" s="291"/>
      <c r="M197" s="291"/>
      <c r="N197" s="291"/>
      <c r="O197" s="291"/>
    </row>
    <row r="198" spans="1:15" s="284" customFormat="1" ht="18" customHeight="1" hidden="1">
      <c r="A198" s="291"/>
      <c r="B198" s="291"/>
      <c r="C198" s="291"/>
      <c r="D198" s="291"/>
      <c r="E198" s="291"/>
      <c r="F198" s="291"/>
      <c r="G198" s="291"/>
      <c r="H198" s="291"/>
      <c r="I198" s="291"/>
      <c r="J198" s="291"/>
      <c r="K198" s="291"/>
      <c r="L198" s="291"/>
      <c r="M198" s="291"/>
      <c r="N198" s="291"/>
      <c r="O198" s="291"/>
    </row>
    <row r="199" spans="1:15" s="284" customFormat="1" ht="18" customHeight="1" hidden="1">
      <c r="A199" s="291"/>
      <c r="B199" s="291"/>
      <c r="C199" s="291"/>
      <c r="D199" s="291"/>
      <c r="E199" s="291"/>
      <c r="F199" s="291"/>
      <c r="G199" s="291"/>
      <c r="H199" s="291"/>
      <c r="I199" s="291"/>
      <c r="J199" s="291"/>
      <c r="K199" s="291"/>
      <c r="L199" s="291"/>
      <c r="M199" s="291"/>
      <c r="N199" s="291"/>
      <c r="O199" s="291"/>
    </row>
    <row r="200" spans="1:15" s="284" customFormat="1" ht="18" customHeight="1" hidden="1">
      <c r="A200" s="291"/>
      <c r="B200" s="291"/>
      <c r="C200" s="291"/>
      <c r="D200" s="291"/>
      <c r="E200" s="291"/>
      <c r="F200" s="291"/>
      <c r="G200" s="291"/>
      <c r="H200" s="291"/>
      <c r="I200" s="291"/>
      <c r="J200" s="291"/>
      <c r="K200" s="291"/>
      <c r="L200" s="291"/>
      <c r="M200" s="291"/>
      <c r="N200" s="291"/>
      <c r="O200" s="291"/>
    </row>
    <row r="201" spans="1:15" s="284" customFormat="1" ht="18" customHeight="1" hidden="1">
      <c r="A201" s="291"/>
      <c r="B201" s="291"/>
      <c r="C201" s="291"/>
      <c r="D201" s="291"/>
      <c r="E201" s="291"/>
      <c r="F201" s="291"/>
      <c r="G201" s="291"/>
      <c r="H201" s="291"/>
      <c r="I201" s="291"/>
      <c r="J201" s="291"/>
      <c r="K201" s="291"/>
      <c r="L201" s="291"/>
      <c r="M201" s="291"/>
      <c r="N201" s="291"/>
      <c r="O201" s="291"/>
    </row>
    <row r="202" spans="1:15" s="284" customFormat="1" ht="18" customHeight="1" hidden="1">
      <c r="A202" s="291"/>
      <c r="B202" s="291"/>
      <c r="C202" s="291"/>
      <c r="D202" s="291"/>
      <c r="E202" s="291"/>
      <c r="F202" s="291"/>
      <c r="G202" s="291"/>
      <c r="H202" s="291"/>
      <c r="I202" s="291"/>
      <c r="J202" s="291"/>
      <c r="K202" s="291"/>
      <c r="L202" s="291"/>
      <c r="M202" s="291"/>
      <c r="N202" s="291"/>
      <c r="O202" s="291"/>
    </row>
    <row r="203" spans="1:15" s="284" customFormat="1" ht="18" customHeight="1" hidden="1">
      <c r="A203" s="291"/>
      <c r="B203" s="291"/>
      <c r="C203" s="291"/>
      <c r="D203" s="291"/>
      <c r="E203" s="291"/>
      <c r="F203" s="291"/>
      <c r="G203" s="291"/>
      <c r="H203" s="291"/>
      <c r="I203" s="291"/>
      <c r="J203" s="291"/>
      <c r="K203" s="291"/>
      <c r="L203" s="291"/>
      <c r="M203" s="291"/>
      <c r="N203" s="291"/>
      <c r="O203" s="291"/>
    </row>
    <row r="204" spans="1:15" s="284" customFormat="1" ht="18" customHeight="1" hidden="1">
      <c r="A204" s="291"/>
      <c r="B204" s="291"/>
      <c r="C204" s="291"/>
      <c r="D204" s="291"/>
      <c r="E204" s="291"/>
      <c r="F204" s="291"/>
      <c r="G204" s="291"/>
      <c r="H204" s="291"/>
      <c r="I204" s="291"/>
      <c r="J204" s="291"/>
      <c r="K204" s="291"/>
      <c r="L204" s="291"/>
      <c r="M204" s="291"/>
      <c r="N204" s="291"/>
      <c r="O204" s="291"/>
    </row>
    <row r="205" spans="1:15" s="284" customFormat="1" ht="18" customHeight="1" hidden="1">
      <c r="A205" s="291"/>
      <c r="B205" s="291"/>
      <c r="C205" s="291"/>
      <c r="D205" s="291"/>
      <c r="E205" s="291"/>
      <c r="F205" s="291"/>
      <c r="G205" s="291"/>
      <c r="H205" s="291"/>
      <c r="I205" s="291"/>
      <c r="J205" s="291"/>
      <c r="K205" s="291"/>
      <c r="L205" s="291"/>
      <c r="M205" s="291"/>
      <c r="N205" s="291"/>
      <c r="O205" s="291"/>
    </row>
    <row r="206" spans="1:15" s="284" customFormat="1" ht="18" customHeight="1" hidden="1">
      <c r="A206" s="291"/>
      <c r="B206" s="291"/>
      <c r="C206" s="291"/>
      <c r="D206" s="291"/>
      <c r="E206" s="291"/>
      <c r="F206" s="291"/>
      <c r="G206" s="291"/>
      <c r="H206" s="291"/>
      <c r="I206" s="291"/>
      <c r="J206" s="291"/>
      <c r="K206" s="291"/>
      <c r="L206" s="291"/>
      <c r="M206" s="291"/>
      <c r="N206" s="291"/>
      <c r="O206" s="291"/>
    </row>
    <row r="207" spans="1:15" s="284" customFormat="1" ht="18" customHeight="1" hidden="1">
      <c r="A207" s="291"/>
      <c r="B207" s="291"/>
      <c r="C207" s="291"/>
      <c r="D207" s="291"/>
      <c r="E207" s="291"/>
      <c r="F207" s="291"/>
      <c r="G207" s="291"/>
      <c r="H207" s="291"/>
      <c r="I207" s="291"/>
      <c r="J207" s="291"/>
      <c r="K207" s="291"/>
      <c r="L207" s="291"/>
      <c r="M207" s="291"/>
      <c r="N207" s="291"/>
      <c r="O207" s="291"/>
    </row>
    <row r="208" spans="1:15" s="284" customFormat="1" ht="18" customHeight="1" hidden="1">
      <c r="A208" s="291"/>
      <c r="B208" s="291"/>
      <c r="C208" s="291"/>
      <c r="D208" s="291"/>
      <c r="E208" s="291"/>
      <c r="F208" s="291"/>
      <c r="G208" s="291"/>
      <c r="H208" s="291"/>
      <c r="I208" s="291"/>
      <c r="J208" s="291"/>
      <c r="K208" s="291"/>
      <c r="L208" s="291"/>
      <c r="M208" s="291"/>
      <c r="N208" s="291"/>
      <c r="O208" s="291"/>
    </row>
    <row r="209" spans="1:15" s="284" customFormat="1" ht="18" customHeight="1" hidden="1">
      <c r="A209" s="291"/>
      <c r="B209" s="291"/>
      <c r="C209" s="291"/>
      <c r="D209" s="291"/>
      <c r="E209" s="291"/>
      <c r="F209" s="291"/>
      <c r="G209" s="291"/>
      <c r="H209" s="291"/>
      <c r="I209" s="291"/>
      <c r="J209" s="291"/>
      <c r="K209" s="291"/>
      <c r="L209" s="291"/>
      <c r="M209" s="291"/>
      <c r="N209" s="291"/>
      <c r="O209" s="291"/>
    </row>
    <row r="210" spans="1:15" s="284" customFormat="1" ht="18" customHeight="1" hidden="1">
      <c r="A210" s="291"/>
      <c r="B210" s="291"/>
      <c r="C210" s="291"/>
      <c r="D210" s="291"/>
      <c r="E210" s="291"/>
      <c r="F210" s="291"/>
      <c r="G210" s="291"/>
      <c r="H210" s="291"/>
      <c r="I210" s="291"/>
      <c r="J210" s="291"/>
      <c r="K210" s="291"/>
      <c r="L210" s="291"/>
      <c r="M210" s="291"/>
      <c r="N210" s="291"/>
      <c r="O210" s="291"/>
    </row>
    <row r="211" spans="1:15" s="284" customFormat="1" ht="18" customHeight="1" hidden="1">
      <c r="A211" s="291"/>
      <c r="B211" s="291"/>
      <c r="C211" s="291"/>
      <c r="D211" s="291"/>
      <c r="E211" s="291"/>
      <c r="F211" s="291"/>
      <c r="G211" s="291"/>
      <c r="H211" s="291"/>
      <c r="I211" s="291"/>
      <c r="J211" s="291"/>
      <c r="K211" s="291"/>
      <c r="L211" s="291"/>
      <c r="M211" s="291"/>
      <c r="N211" s="291"/>
      <c r="O211" s="291"/>
    </row>
    <row r="212" spans="1:15" s="284" customFormat="1" ht="18" customHeight="1" hidden="1">
      <c r="A212" s="291"/>
      <c r="B212" s="291"/>
      <c r="C212" s="291"/>
      <c r="D212" s="291"/>
      <c r="E212" s="291"/>
      <c r="F212" s="291"/>
      <c r="G212" s="291"/>
      <c r="H212" s="291"/>
      <c r="I212" s="291"/>
      <c r="J212" s="291"/>
      <c r="K212" s="291"/>
      <c r="L212" s="291"/>
      <c r="M212" s="291"/>
      <c r="N212" s="291"/>
      <c r="O212" s="291"/>
    </row>
    <row r="213" spans="1:15" s="284" customFormat="1" ht="18" customHeight="1" hidden="1">
      <c r="A213" s="291"/>
      <c r="B213" s="291"/>
      <c r="C213" s="291"/>
      <c r="D213" s="291"/>
      <c r="E213" s="291"/>
      <c r="F213" s="291"/>
      <c r="G213" s="291"/>
      <c r="H213" s="291"/>
      <c r="I213" s="291"/>
      <c r="J213" s="291"/>
      <c r="K213" s="291"/>
      <c r="L213" s="291"/>
      <c r="M213" s="291"/>
      <c r="N213" s="291"/>
      <c r="O213" s="291"/>
    </row>
    <row r="214" spans="1:15" s="284" customFormat="1" ht="18" customHeight="1" hidden="1">
      <c r="A214" s="291"/>
      <c r="B214" s="291"/>
      <c r="C214" s="291"/>
      <c r="D214" s="291"/>
      <c r="E214" s="291"/>
      <c r="F214" s="291"/>
      <c r="G214" s="291"/>
      <c r="H214" s="291"/>
      <c r="I214" s="291"/>
      <c r="J214" s="291"/>
      <c r="K214" s="291"/>
      <c r="L214" s="291"/>
      <c r="M214" s="291"/>
      <c r="N214" s="291"/>
      <c r="O214" s="291"/>
    </row>
    <row r="215" spans="1:15" s="284" customFormat="1" ht="18" customHeight="1" hidden="1">
      <c r="A215" s="291"/>
      <c r="B215" s="291"/>
      <c r="C215" s="291"/>
      <c r="D215" s="291"/>
      <c r="E215" s="291"/>
      <c r="F215" s="291"/>
      <c r="G215" s="291"/>
      <c r="H215" s="291"/>
      <c r="I215" s="291"/>
      <c r="J215" s="291"/>
      <c r="K215" s="291"/>
      <c r="L215" s="291"/>
      <c r="M215" s="291"/>
      <c r="N215" s="291"/>
      <c r="O215" s="291"/>
    </row>
    <row r="216" spans="1:15" s="284" customFormat="1" ht="18" customHeight="1" hidden="1">
      <c r="A216" s="291"/>
      <c r="B216" s="291"/>
      <c r="C216" s="291"/>
      <c r="D216" s="291"/>
      <c r="E216" s="291"/>
      <c r="F216" s="291"/>
      <c r="G216" s="291"/>
      <c r="H216" s="291"/>
      <c r="I216" s="291"/>
      <c r="J216" s="291"/>
      <c r="K216" s="291"/>
      <c r="L216" s="291"/>
      <c r="M216" s="291"/>
      <c r="N216" s="291"/>
      <c r="O216" s="291"/>
    </row>
    <row r="217" spans="1:15" s="284" customFormat="1" ht="18" customHeight="1" hidden="1">
      <c r="A217" s="291"/>
      <c r="B217" s="291"/>
      <c r="C217" s="291"/>
      <c r="D217" s="291"/>
      <c r="E217" s="291"/>
      <c r="F217" s="291"/>
      <c r="G217" s="291"/>
      <c r="H217" s="291"/>
      <c r="I217" s="291"/>
      <c r="J217" s="291"/>
      <c r="K217" s="291"/>
      <c r="L217" s="291"/>
      <c r="M217" s="291"/>
      <c r="N217" s="291"/>
      <c r="O217" s="291"/>
    </row>
    <row r="218" spans="1:15" s="284" customFormat="1" ht="18" customHeight="1" hidden="1">
      <c r="A218" s="291"/>
      <c r="B218" s="291"/>
      <c r="C218" s="291"/>
      <c r="D218" s="291"/>
      <c r="E218" s="291"/>
      <c r="F218" s="291"/>
      <c r="G218" s="291"/>
      <c r="H218" s="291"/>
      <c r="I218" s="291"/>
      <c r="J218" s="291"/>
      <c r="K218" s="291"/>
      <c r="L218" s="291"/>
      <c r="M218" s="291"/>
      <c r="N218" s="291"/>
      <c r="O218" s="291"/>
    </row>
    <row r="219" spans="1:15" s="284" customFormat="1" ht="18" customHeight="1" hidden="1">
      <c r="A219" s="291"/>
      <c r="B219" s="291"/>
      <c r="C219" s="291"/>
      <c r="D219" s="291"/>
      <c r="E219" s="291"/>
      <c r="F219" s="291"/>
      <c r="G219" s="291"/>
      <c r="H219" s="291"/>
      <c r="I219" s="291"/>
      <c r="J219" s="291"/>
      <c r="K219" s="291"/>
      <c r="L219" s="291"/>
      <c r="M219" s="291"/>
      <c r="N219" s="291"/>
      <c r="O219" s="291"/>
    </row>
    <row r="220" spans="1:15" s="284" customFormat="1" ht="18" customHeight="1" hidden="1">
      <c r="A220" s="291"/>
      <c r="B220" s="291"/>
      <c r="C220" s="291"/>
      <c r="D220" s="291"/>
      <c r="E220" s="291"/>
      <c r="F220" s="291"/>
      <c r="G220" s="291"/>
      <c r="H220" s="291"/>
      <c r="I220" s="291"/>
      <c r="J220" s="291"/>
      <c r="K220" s="291"/>
      <c r="L220" s="291"/>
      <c r="M220" s="291"/>
      <c r="N220" s="291"/>
      <c r="O220" s="291"/>
    </row>
    <row r="221" spans="1:15" s="284" customFormat="1" ht="18" customHeight="1" hidden="1">
      <c r="A221" s="291"/>
      <c r="B221" s="291"/>
      <c r="C221" s="291"/>
      <c r="D221" s="291"/>
      <c r="E221" s="291"/>
      <c r="F221" s="291"/>
      <c r="G221" s="291"/>
      <c r="H221" s="291"/>
      <c r="I221" s="291"/>
      <c r="J221" s="291"/>
      <c r="K221" s="291"/>
      <c r="L221" s="291"/>
      <c r="M221" s="291"/>
      <c r="N221" s="291"/>
      <c r="O221" s="291"/>
    </row>
    <row r="222" spans="1:15" s="284" customFormat="1" ht="18" customHeight="1" hidden="1">
      <c r="A222" s="291"/>
      <c r="B222" s="291"/>
      <c r="C222" s="291"/>
      <c r="D222" s="291"/>
      <c r="E222" s="291"/>
      <c r="F222" s="291"/>
      <c r="G222" s="291"/>
      <c r="H222" s="291"/>
      <c r="I222" s="291"/>
      <c r="J222" s="291"/>
      <c r="K222" s="291"/>
      <c r="L222" s="291"/>
      <c r="M222" s="291"/>
      <c r="N222" s="291"/>
      <c r="O222" s="291"/>
    </row>
    <row r="223" spans="1:15" s="284" customFormat="1" ht="18" customHeight="1" hidden="1">
      <c r="A223" s="291"/>
      <c r="B223" s="291"/>
      <c r="C223" s="291"/>
      <c r="D223" s="291"/>
      <c r="E223" s="291"/>
      <c r="F223" s="291"/>
      <c r="G223" s="291"/>
      <c r="H223" s="291"/>
      <c r="I223" s="291"/>
      <c r="J223" s="291"/>
      <c r="K223" s="291"/>
      <c r="L223" s="291"/>
      <c r="M223" s="291"/>
      <c r="N223" s="291"/>
      <c r="O223" s="291"/>
    </row>
    <row r="224" spans="1:15" s="284" customFormat="1" ht="18" customHeight="1" hidden="1">
      <c r="A224" s="291"/>
      <c r="B224" s="291"/>
      <c r="C224" s="291"/>
      <c r="D224" s="291"/>
      <c r="E224" s="291"/>
      <c r="F224" s="291"/>
      <c r="G224" s="291"/>
      <c r="H224" s="291"/>
      <c r="I224" s="291"/>
      <c r="J224" s="291"/>
      <c r="K224" s="291"/>
      <c r="L224" s="291"/>
      <c r="M224" s="291"/>
      <c r="N224" s="291"/>
      <c r="O224" s="291"/>
    </row>
    <row r="225" spans="1:15" s="284" customFormat="1" ht="18" customHeight="1" hidden="1">
      <c r="A225" s="291"/>
      <c r="B225" s="291"/>
      <c r="C225" s="291"/>
      <c r="D225" s="291"/>
      <c r="E225" s="291"/>
      <c r="F225" s="291"/>
      <c r="G225" s="291"/>
      <c r="H225" s="291"/>
      <c r="I225" s="291"/>
      <c r="J225" s="291"/>
      <c r="K225" s="291"/>
      <c r="L225" s="291"/>
      <c r="M225" s="291"/>
      <c r="N225" s="291"/>
      <c r="O225" s="291"/>
    </row>
    <row r="226" spans="1:15" s="284" customFormat="1" ht="18" customHeight="1" hidden="1">
      <c r="A226" s="291"/>
      <c r="B226" s="291"/>
      <c r="C226" s="291"/>
      <c r="D226" s="291"/>
      <c r="E226" s="291"/>
      <c r="F226" s="291"/>
      <c r="G226" s="291"/>
      <c r="H226" s="291"/>
      <c r="I226" s="291"/>
      <c r="J226" s="291"/>
      <c r="K226" s="291"/>
      <c r="L226" s="291"/>
      <c r="M226" s="291"/>
      <c r="N226" s="291"/>
      <c r="O226" s="291"/>
    </row>
    <row r="227" spans="1:15" s="284" customFormat="1" ht="18" customHeight="1" hidden="1">
      <c r="A227" s="291"/>
      <c r="B227" s="291"/>
      <c r="C227" s="291"/>
      <c r="D227" s="291"/>
      <c r="E227" s="291"/>
      <c r="F227" s="291"/>
      <c r="G227" s="291"/>
      <c r="H227" s="291"/>
      <c r="I227" s="291"/>
      <c r="J227" s="291"/>
      <c r="K227" s="291"/>
      <c r="L227" s="291"/>
      <c r="M227" s="291"/>
      <c r="N227" s="291"/>
      <c r="O227" s="291"/>
    </row>
    <row r="228" spans="1:15" s="284" customFormat="1" ht="18" customHeight="1" hidden="1">
      <c r="A228" s="291"/>
      <c r="B228" s="291"/>
      <c r="C228" s="291"/>
      <c r="D228" s="291"/>
      <c r="E228" s="291"/>
      <c r="F228" s="291"/>
      <c r="G228" s="291"/>
      <c r="H228" s="291"/>
      <c r="I228" s="291"/>
      <c r="J228" s="291"/>
      <c r="K228" s="291"/>
      <c r="L228" s="291"/>
      <c r="M228" s="291"/>
      <c r="N228" s="291"/>
      <c r="O228" s="291"/>
    </row>
    <row r="229" spans="1:15" s="284" customFormat="1" ht="18" customHeight="1" hidden="1">
      <c r="A229" s="291"/>
      <c r="B229" s="291"/>
      <c r="C229" s="291"/>
      <c r="D229" s="291"/>
      <c r="E229" s="291"/>
      <c r="F229" s="291"/>
      <c r="G229" s="291"/>
      <c r="H229" s="291"/>
      <c r="I229" s="291"/>
      <c r="J229" s="291"/>
      <c r="K229" s="291"/>
      <c r="L229" s="291"/>
      <c r="M229" s="291"/>
      <c r="N229" s="291"/>
      <c r="O229" s="291"/>
    </row>
    <row r="230" spans="1:15" s="284" customFormat="1" ht="18" customHeight="1" hidden="1">
      <c r="A230" s="291"/>
      <c r="B230" s="291"/>
      <c r="C230" s="291"/>
      <c r="D230" s="291"/>
      <c r="E230" s="291"/>
      <c r="F230" s="291"/>
      <c r="G230" s="291"/>
      <c r="H230" s="291"/>
      <c r="I230" s="291"/>
      <c r="J230" s="291"/>
      <c r="K230" s="291"/>
      <c r="L230" s="291"/>
      <c r="M230" s="291"/>
      <c r="N230" s="291"/>
      <c r="O230" s="291"/>
    </row>
    <row r="231" spans="1:15" s="284" customFormat="1" ht="18" customHeight="1" hidden="1">
      <c r="A231" s="291"/>
      <c r="B231" s="291"/>
      <c r="C231" s="291"/>
      <c r="D231" s="291"/>
      <c r="E231" s="291"/>
      <c r="F231" s="291"/>
      <c r="G231" s="291"/>
      <c r="H231" s="291"/>
      <c r="I231" s="291"/>
      <c r="J231" s="291"/>
      <c r="K231" s="291"/>
      <c r="L231" s="291"/>
      <c r="M231" s="291"/>
      <c r="N231" s="291"/>
      <c r="O231" s="291"/>
    </row>
    <row r="232" spans="1:15" s="284" customFormat="1" ht="18" customHeight="1" hidden="1">
      <c r="A232" s="291"/>
      <c r="B232" s="291"/>
      <c r="C232" s="291"/>
      <c r="D232" s="291"/>
      <c r="E232" s="291"/>
      <c r="F232" s="291"/>
      <c r="G232" s="291"/>
      <c r="H232" s="291"/>
      <c r="I232" s="291"/>
      <c r="J232" s="291"/>
      <c r="K232" s="291"/>
      <c r="L232" s="291"/>
      <c r="M232" s="291"/>
      <c r="N232" s="291"/>
      <c r="O232" s="291"/>
    </row>
    <row r="233" spans="1:15" s="284" customFormat="1" ht="18" customHeight="1" hidden="1">
      <c r="A233" s="291"/>
      <c r="B233" s="291"/>
      <c r="C233" s="291"/>
      <c r="D233" s="291"/>
      <c r="E233" s="291"/>
      <c r="F233" s="291"/>
      <c r="G233" s="291"/>
      <c r="H233" s="291"/>
      <c r="I233" s="291"/>
      <c r="J233" s="291"/>
      <c r="K233" s="291"/>
      <c r="L233" s="291"/>
      <c r="M233" s="291"/>
      <c r="N233" s="291"/>
      <c r="O233" s="291"/>
    </row>
    <row r="234" spans="1:15" s="284" customFormat="1" ht="18" customHeight="1" hidden="1">
      <c r="A234" s="291"/>
      <c r="B234" s="291"/>
      <c r="C234" s="291"/>
      <c r="D234" s="291"/>
      <c r="E234" s="291"/>
      <c r="F234" s="291"/>
      <c r="G234" s="291"/>
      <c r="H234" s="291"/>
      <c r="I234" s="291"/>
      <c r="J234" s="291"/>
      <c r="K234" s="291"/>
      <c r="L234" s="291"/>
      <c r="M234" s="291"/>
      <c r="N234" s="291"/>
      <c r="O234" s="291"/>
    </row>
    <row r="235" spans="1:15" s="284" customFormat="1" ht="18" customHeight="1" hidden="1">
      <c r="A235" s="291"/>
      <c r="B235" s="291"/>
      <c r="C235" s="291"/>
      <c r="D235" s="291"/>
      <c r="E235" s="291"/>
      <c r="F235" s="291"/>
      <c r="G235" s="291"/>
      <c r="H235" s="291"/>
      <c r="I235" s="291"/>
      <c r="J235" s="291"/>
      <c r="K235" s="291"/>
      <c r="L235" s="291"/>
      <c r="M235" s="291"/>
      <c r="N235" s="291"/>
      <c r="O235" s="291"/>
    </row>
    <row r="236" spans="1:15" s="284" customFormat="1" ht="18" customHeight="1" hidden="1">
      <c r="A236" s="291"/>
      <c r="B236" s="291"/>
      <c r="C236" s="291"/>
      <c r="D236" s="291"/>
      <c r="E236" s="291"/>
      <c r="F236" s="291"/>
      <c r="G236" s="291"/>
      <c r="H236" s="291"/>
      <c r="I236" s="291"/>
      <c r="J236" s="291"/>
      <c r="K236" s="291"/>
      <c r="L236" s="291"/>
      <c r="M236" s="291"/>
      <c r="N236" s="291"/>
      <c r="O236" s="291"/>
    </row>
    <row r="237" spans="1:15" s="284" customFormat="1" ht="18" customHeight="1" hidden="1">
      <c r="A237" s="291"/>
      <c r="B237" s="291"/>
      <c r="C237" s="291"/>
      <c r="D237" s="291"/>
      <c r="E237" s="291"/>
      <c r="F237" s="291"/>
      <c r="G237" s="291"/>
      <c r="H237" s="291"/>
      <c r="I237" s="291"/>
      <c r="J237" s="291"/>
      <c r="K237" s="291"/>
      <c r="L237" s="291"/>
      <c r="M237" s="291"/>
      <c r="N237" s="291"/>
      <c r="O237" s="291"/>
    </row>
    <row r="238" spans="1:15" s="284" customFormat="1" ht="18" customHeight="1" hidden="1">
      <c r="A238" s="291"/>
      <c r="B238" s="291"/>
      <c r="C238" s="291"/>
      <c r="D238" s="291"/>
      <c r="E238" s="291"/>
      <c r="F238" s="291"/>
      <c r="G238" s="291"/>
      <c r="H238" s="291"/>
      <c r="I238" s="291"/>
      <c r="J238" s="291"/>
      <c r="K238" s="291"/>
      <c r="L238" s="291"/>
      <c r="M238" s="291"/>
      <c r="N238" s="291"/>
      <c r="O238" s="291"/>
    </row>
    <row r="239" spans="1:15" s="284" customFormat="1" ht="18" customHeight="1" hidden="1">
      <c r="A239" s="291"/>
      <c r="B239" s="291"/>
      <c r="C239" s="291"/>
      <c r="D239" s="291"/>
      <c r="E239" s="291"/>
      <c r="F239" s="291"/>
      <c r="G239" s="291"/>
      <c r="H239" s="291"/>
      <c r="I239" s="291"/>
      <c r="J239" s="291"/>
      <c r="K239" s="291"/>
      <c r="L239" s="291"/>
      <c r="M239" s="291"/>
      <c r="N239" s="291"/>
      <c r="O239" s="291"/>
    </row>
    <row r="240" spans="1:15" s="284" customFormat="1" ht="18" customHeight="1" hidden="1">
      <c r="A240" s="291"/>
      <c r="B240" s="291"/>
      <c r="C240" s="291"/>
      <c r="D240" s="291"/>
      <c r="E240" s="291"/>
      <c r="F240" s="291"/>
      <c r="G240" s="291"/>
      <c r="H240" s="291"/>
      <c r="I240" s="291"/>
      <c r="J240" s="291"/>
      <c r="K240" s="291"/>
      <c r="L240" s="291"/>
      <c r="M240" s="291"/>
      <c r="N240" s="291"/>
      <c r="O240" s="291"/>
    </row>
    <row r="241" spans="1:15" s="284" customFormat="1" ht="18" customHeight="1" hidden="1">
      <c r="A241" s="291"/>
      <c r="B241" s="291"/>
      <c r="C241" s="291"/>
      <c r="D241" s="291"/>
      <c r="E241" s="291"/>
      <c r="F241" s="291"/>
      <c r="G241" s="291"/>
      <c r="H241" s="291"/>
      <c r="I241" s="291"/>
      <c r="J241" s="291"/>
      <c r="K241" s="291"/>
      <c r="L241" s="291"/>
      <c r="M241" s="291"/>
      <c r="N241" s="291"/>
      <c r="O241" s="291"/>
    </row>
    <row r="242" spans="1:15" s="284" customFormat="1" ht="18" customHeight="1" hidden="1">
      <c r="A242" s="291"/>
      <c r="B242" s="291"/>
      <c r="C242" s="291"/>
      <c r="D242" s="291"/>
      <c r="E242" s="291"/>
      <c r="F242" s="291"/>
      <c r="G242" s="291"/>
      <c r="H242" s="291"/>
      <c r="I242" s="291"/>
      <c r="J242" s="291"/>
      <c r="K242" s="291"/>
      <c r="L242" s="291"/>
      <c r="M242" s="291"/>
      <c r="N242" s="291"/>
      <c r="O242" s="291"/>
    </row>
    <row r="243" spans="1:15" s="284" customFormat="1" ht="18" customHeight="1" hidden="1">
      <c r="A243" s="291"/>
      <c r="B243" s="291"/>
      <c r="C243" s="291"/>
      <c r="D243" s="291"/>
      <c r="E243" s="291"/>
      <c r="F243" s="291"/>
      <c r="G243" s="291"/>
      <c r="H243" s="291"/>
      <c r="I243" s="291"/>
      <c r="J243" s="291"/>
      <c r="K243" s="291"/>
      <c r="L243" s="291"/>
      <c r="M243" s="291"/>
      <c r="N243" s="291"/>
      <c r="O243" s="291"/>
    </row>
    <row r="244" spans="1:15" s="284" customFormat="1" ht="18" customHeight="1" hidden="1">
      <c r="A244" s="291"/>
      <c r="B244" s="291"/>
      <c r="C244" s="291"/>
      <c r="D244" s="291"/>
      <c r="E244" s="291"/>
      <c r="F244" s="291"/>
      <c r="G244" s="291"/>
      <c r="H244" s="291"/>
      <c r="I244" s="291"/>
      <c r="J244" s="291"/>
      <c r="K244" s="291"/>
      <c r="L244" s="291"/>
      <c r="M244" s="291"/>
      <c r="N244" s="291"/>
      <c r="O244" s="291"/>
    </row>
    <row r="245" spans="1:15" s="284" customFormat="1" ht="18" customHeight="1" hidden="1">
      <c r="A245" s="291"/>
      <c r="B245" s="291"/>
      <c r="C245" s="291"/>
      <c r="D245" s="291"/>
      <c r="E245" s="291"/>
      <c r="F245" s="291"/>
      <c r="G245" s="291"/>
      <c r="H245" s="291"/>
      <c r="I245" s="291"/>
      <c r="J245" s="291"/>
      <c r="K245" s="291"/>
      <c r="L245" s="291"/>
      <c r="M245" s="291"/>
      <c r="N245" s="291"/>
      <c r="O245" s="291"/>
    </row>
    <row r="246" spans="1:15" s="284" customFormat="1" ht="18" customHeight="1" hidden="1">
      <c r="A246" s="291"/>
      <c r="B246" s="291"/>
      <c r="C246" s="291"/>
      <c r="D246" s="291"/>
      <c r="E246" s="291"/>
      <c r="F246" s="291"/>
      <c r="G246" s="291"/>
      <c r="H246" s="291"/>
      <c r="I246" s="291"/>
      <c r="J246" s="291"/>
      <c r="K246" s="291"/>
      <c r="L246" s="291"/>
      <c r="M246" s="291"/>
      <c r="N246" s="291"/>
      <c r="O246" s="291"/>
    </row>
    <row r="247" spans="1:15" s="284" customFormat="1" ht="18" customHeight="1" hidden="1">
      <c r="A247" s="291"/>
      <c r="B247" s="291"/>
      <c r="C247" s="291"/>
      <c r="D247" s="291"/>
      <c r="E247" s="291"/>
      <c r="F247" s="291"/>
      <c r="G247" s="291"/>
      <c r="H247" s="291"/>
      <c r="I247" s="291"/>
      <c r="J247" s="291"/>
      <c r="K247" s="291"/>
      <c r="L247" s="291"/>
      <c r="M247" s="291"/>
      <c r="N247" s="291"/>
      <c r="O247" s="291"/>
    </row>
    <row r="248" spans="1:15" s="284" customFormat="1" ht="18" customHeight="1" hidden="1">
      <c r="A248" s="291"/>
      <c r="B248" s="291"/>
      <c r="C248" s="291"/>
      <c r="D248" s="291"/>
      <c r="E248" s="291"/>
      <c r="F248" s="291"/>
      <c r="G248" s="291"/>
      <c r="H248" s="291"/>
      <c r="I248" s="291"/>
      <c r="J248" s="291"/>
      <c r="K248" s="291"/>
      <c r="L248" s="291"/>
      <c r="M248" s="291"/>
      <c r="N248" s="291"/>
      <c r="O248" s="291"/>
    </row>
    <row r="249" spans="1:15" s="284" customFormat="1" ht="18" customHeight="1" hidden="1">
      <c r="A249" s="291"/>
      <c r="B249" s="291"/>
      <c r="C249" s="291"/>
      <c r="D249" s="291"/>
      <c r="E249" s="291"/>
      <c r="F249" s="291"/>
      <c r="G249" s="291"/>
      <c r="H249" s="291"/>
      <c r="I249" s="291"/>
      <c r="J249" s="291"/>
      <c r="K249" s="291"/>
      <c r="L249" s="291"/>
      <c r="M249" s="291"/>
      <c r="N249" s="291"/>
      <c r="O249" s="291"/>
    </row>
    <row r="250" spans="1:15" s="284" customFormat="1" ht="18" customHeight="1" hidden="1">
      <c r="A250" s="291"/>
      <c r="B250" s="291"/>
      <c r="C250" s="291"/>
      <c r="D250" s="291"/>
      <c r="E250" s="291"/>
      <c r="F250" s="291"/>
      <c r="G250" s="291"/>
      <c r="H250" s="291"/>
      <c r="I250" s="291"/>
      <c r="J250" s="291"/>
      <c r="K250" s="291"/>
      <c r="L250" s="291"/>
      <c r="M250" s="291"/>
      <c r="N250" s="291"/>
      <c r="O250" s="291"/>
    </row>
    <row r="251" spans="1:15" s="284" customFormat="1" ht="18" customHeight="1" hidden="1">
      <c r="A251" s="291"/>
      <c r="B251" s="291"/>
      <c r="C251" s="291"/>
      <c r="D251" s="291"/>
      <c r="E251" s="291"/>
      <c r="F251" s="291"/>
      <c r="G251" s="291"/>
      <c r="H251" s="291"/>
      <c r="I251" s="291"/>
      <c r="J251" s="291"/>
      <c r="K251" s="291"/>
      <c r="L251" s="291"/>
      <c r="M251" s="291"/>
      <c r="N251" s="291"/>
      <c r="O251" s="291"/>
    </row>
    <row r="252" spans="1:15" s="284" customFormat="1" ht="18" customHeight="1" hidden="1">
      <c r="A252" s="291"/>
      <c r="B252" s="291"/>
      <c r="C252" s="291"/>
      <c r="D252" s="291"/>
      <c r="E252" s="291"/>
      <c r="F252" s="291"/>
      <c r="G252" s="291"/>
      <c r="H252" s="291"/>
      <c r="I252" s="291"/>
      <c r="J252" s="291"/>
      <c r="K252" s="291"/>
      <c r="L252" s="291"/>
      <c r="M252" s="291"/>
      <c r="N252" s="291"/>
      <c r="O252" s="291"/>
    </row>
    <row r="253" spans="1:15" s="284" customFormat="1" ht="18" customHeight="1" hidden="1">
      <c r="A253" s="291"/>
      <c r="B253" s="291"/>
      <c r="C253" s="291"/>
      <c r="D253" s="291"/>
      <c r="E253" s="291"/>
      <c r="F253" s="291"/>
      <c r="G253" s="291"/>
      <c r="H253" s="291"/>
      <c r="I253" s="291"/>
      <c r="J253" s="291"/>
      <c r="K253" s="291"/>
      <c r="L253" s="291"/>
      <c r="M253" s="291"/>
      <c r="N253" s="291"/>
      <c r="O253" s="291"/>
    </row>
    <row r="254" spans="1:15" s="284" customFormat="1" ht="18" customHeight="1" hidden="1">
      <c r="A254" s="291"/>
      <c r="B254" s="291"/>
      <c r="C254" s="291"/>
      <c r="D254" s="291"/>
      <c r="E254" s="291"/>
      <c r="F254" s="291"/>
      <c r="G254" s="291"/>
      <c r="H254" s="291"/>
      <c r="I254" s="291"/>
      <c r="J254" s="291"/>
      <c r="K254" s="291"/>
      <c r="L254" s="291"/>
      <c r="M254" s="291"/>
      <c r="N254" s="291"/>
      <c r="O254" s="291"/>
    </row>
    <row r="255" spans="1:15" s="284" customFormat="1" ht="18" customHeight="1" hidden="1">
      <c r="A255" s="291"/>
      <c r="B255" s="291"/>
      <c r="C255" s="291"/>
      <c r="D255" s="291"/>
      <c r="E255" s="291"/>
      <c r="F255" s="291"/>
      <c r="G255" s="291"/>
      <c r="H255" s="291"/>
      <c r="I255" s="291"/>
      <c r="J255" s="291"/>
      <c r="K255" s="291"/>
      <c r="L255" s="291"/>
      <c r="M255" s="291"/>
      <c r="N255" s="291"/>
      <c r="O255" s="291"/>
    </row>
    <row r="256" spans="1:15" s="284" customFormat="1" ht="18" customHeight="1" hidden="1">
      <c r="A256" s="291"/>
      <c r="B256" s="291"/>
      <c r="C256" s="291"/>
      <c r="D256" s="291"/>
      <c r="E256" s="291"/>
      <c r="F256" s="291"/>
      <c r="G256" s="291"/>
      <c r="H256" s="291"/>
      <c r="I256" s="291"/>
      <c r="J256" s="291"/>
      <c r="K256" s="291"/>
      <c r="L256" s="291"/>
      <c r="M256" s="291"/>
      <c r="N256" s="291"/>
      <c r="O256" s="291"/>
    </row>
    <row r="257" spans="1:15" s="284" customFormat="1" ht="18" customHeight="1" hidden="1">
      <c r="A257" s="291"/>
      <c r="B257" s="291"/>
      <c r="C257" s="291"/>
      <c r="D257" s="291"/>
      <c r="E257" s="291"/>
      <c r="F257" s="291"/>
      <c r="G257" s="291"/>
      <c r="H257" s="291"/>
      <c r="I257" s="291"/>
      <c r="J257" s="291"/>
      <c r="K257" s="291"/>
      <c r="L257" s="291"/>
      <c r="M257" s="291"/>
      <c r="N257" s="291"/>
      <c r="O257" s="291"/>
    </row>
    <row r="258" spans="1:15" s="284" customFormat="1" ht="18" customHeight="1" hidden="1">
      <c r="A258" s="291"/>
      <c r="B258" s="291"/>
      <c r="C258" s="291"/>
      <c r="D258" s="291"/>
      <c r="E258" s="291"/>
      <c r="F258" s="291"/>
      <c r="G258" s="291"/>
      <c r="H258" s="291"/>
      <c r="I258" s="291"/>
      <c r="J258" s="291"/>
      <c r="K258" s="291"/>
      <c r="L258" s="291"/>
      <c r="M258" s="291"/>
      <c r="N258" s="291"/>
      <c r="O258" s="291"/>
    </row>
    <row r="259" spans="1:15" s="284" customFormat="1" ht="18" customHeight="1" hidden="1">
      <c r="A259" s="291"/>
      <c r="B259" s="291"/>
      <c r="C259" s="291"/>
      <c r="D259" s="291"/>
      <c r="E259" s="291"/>
      <c r="F259" s="291"/>
      <c r="G259" s="291"/>
      <c r="H259" s="291"/>
      <c r="I259" s="291"/>
      <c r="J259" s="291"/>
      <c r="K259" s="291"/>
      <c r="L259" s="291"/>
      <c r="M259" s="291"/>
      <c r="N259" s="291"/>
      <c r="O259" s="291"/>
    </row>
    <row r="260" spans="1:15" s="284" customFormat="1" ht="18" customHeight="1" hidden="1">
      <c r="A260" s="291"/>
      <c r="B260" s="291"/>
      <c r="C260" s="291"/>
      <c r="D260" s="291"/>
      <c r="E260" s="291"/>
      <c r="F260" s="291"/>
      <c r="G260" s="291"/>
      <c r="H260" s="291"/>
      <c r="I260" s="291"/>
      <c r="J260" s="291"/>
      <c r="K260" s="291"/>
      <c r="L260" s="291"/>
      <c r="M260" s="291"/>
      <c r="N260" s="291"/>
      <c r="O260" s="291"/>
    </row>
    <row r="261" spans="1:15" s="284" customFormat="1" ht="18" customHeight="1" hidden="1">
      <c r="A261" s="291"/>
      <c r="B261" s="291"/>
      <c r="C261" s="291"/>
      <c r="D261" s="291"/>
      <c r="E261" s="291"/>
      <c r="F261" s="291"/>
      <c r="G261" s="291"/>
      <c r="H261" s="291"/>
      <c r="I261" s="291"/>
      <c r="J261" s="291"/>
      <c r="K261" s="291"/>
      <c r="L261" s="291"/>
      <c r="M261" s="291"/>
      <c r="N261" s="291"/>
      <c r="O261" s="291"/>
    </row>
    <row r="262" spans="1:15" s="284" customFormat="1" ht="18" customHeight="1" hidden="1">
      <c r="A262" s="291"/>
      <c r="B262" s="291"/>
      <c r="C262" s="291"/>
      <c r="D262" s="291"/>
      <c r="E262" s="291"/>
      <c r="F262" s="291"/>
      <c r="G262" s="291"/>
      <c r="H262" s="291"/>
      <c r="I262" s="291"/>
      <c r="J262" s="291"/>
      <c r="K262" s="291"/>
      <c r="L262" s="291"/>
      <c r="M262" s="291"/>
      <c r="N262" s="291"/>
      <c r="O262" s="291"/>
    </row>
    <row r="263" spans="1:15" s="284" customFormat="1" ht="18" customHeight="1" hidden="1">
      <c r="A263" s="291"/>
      <c r="B263" s="291"/>
      <c r="C263" s="291"/>
      <c r="D263" s="291"/>
      <c r="E263" s="291"/>
      <c r="F263" s="291"/>
      <c r="G263" s="291"/>
      <c r="H263" s="291"/>
      <c r="I263" s="291"/>
      <c r="J263" s="291"/>
      <c r="K263" s="291"/>
      <c r="L263" s="291"/>
      <c r="M263" s="291"/>
      <c r="N263" s="291"/>
      <c r="O263" s="291"/>
    </row>
    <row r="264" spans="1:15" s="284" customFormat="1" ht="18" customHeight="1" hidden="1">
      <c r="A264" s="291"/>
      <c r="B264" s="291"/>
      <c r="C264" s="291"/>
      <c r="D264" s="291"/>
      <c r="E264" s="291"/>
      <c r="F264" s="291"/>
      <c r="G264" s="291"/>
      <c r="H264" s="291"/>
      <c r="I264" s="291"/>
      <c r="J264" s="291"/>
      <c r="K264" s="291"/>
      <c r="L264" s="291"/>
      <c r="M264" s="291"/>
      <c r="N264" s="291"/>
      <c r="O264" s="291"/>
    </row>
    <row r="265" spans="1:15" s="284" customFormat="1" ht="18" customHeight="1" hidden="1">
      <c r="A265" s="291"/>
      <c r="B265" s="291"/>
      <c r="C265" s="291"/>
      <c r="D265" s="291"/>
      <c r="E265" s="291"/>
      <c r="F265" s="291"/>
      <c r="G265" s="291"/>
      <c r="H265" s="291"/>
      <c r="I265" s="291"/>
      <c r="J265" s="291"/>
      <c r="K265" s="291"/>
      <c r="L265" s="291"/>
      <c r="M265" s="291"/>
      <c r="N265" s="291"/>
      <c r="O265" s="291"/>
    </row>
    <row r="266" spans="1:15" s="284" customFormat="1" ht="18" customHeight="1" hidden="1">
      <c r="A266" s="291"/>
      <c r="B266" s="291"/>
      <c r="C266" s="291"/>
      <c r="D266" s="291"/>
      <c r="E266" s="291"/>
      <c r="F266" s="291"/>
      <c r="G266" s="291"/>
      <c r="H266" s="291"/>
      <c r="I266" s="291"/>
      <c r="J266" s="291"/>
      <c r="K266" s="291"/>
      <c r="L266" s="291"/>
      <c r="M266" s="291"/>
      <c r="N266" s="291"/>
      <c r="O266" s="291"/>
    </row>
    <row r="267" spans="1:15" s="284" customFormat="1" ht="18" customHeight="1" hidden="1">
      <c r="A267" s="291"/>
      <c r="B267" s="291"/>
      <c r="C267" s="291"/>
      <c r="D267" s="291"/>
      <c r="E267" s="291"/>
      <c r="F267" s="291"/>
      <c r="G267" s="291"/>
      <c r="H267" s="291"/>
      <c r="I267" s="291"/>
      <c r="J267" s="291"/>
      <c r="K267" s="291"/>
      <c r="L267" s="291"/>
      <c r="M267" s="291"/>
      <c r="N267" s="291"/>
      <c r="O267" s="291"/>
    </row>
    <row r="268" spans="1:15" s="284" customFormat="1" ht="18" customHeight="1" hidden="1">
      <c r="A268" s="291"/>
      <c r="B268" s="291"/>
      <c r="C268" s="291"/>
      <c r="D268" s="291"/>
      <c r="E268" s="291"/>
      <c r="F268" s="291"/>
      <c r="G268" s="291"/>
      <c r="H268" s="291"/>
      <c r="I268" s="291"/>
      <c r="J268" s="291"/>
      <c r="K268" s="291"/>
      <c r="L268" s="291"/>
      <c r="M268" s="291"/>
      <c r="N268" s="291"/>
      <c r="O268" s="291"/>
    </row>
    <row r="269" spans="1:15" s="284" customFormat="1" ht="18" customHeight="1" hidden="1">
      <c r="A269" s="291"/>
      <c r="B269" s="291"/>
      <c r="C269" s="291"/>
      <c r="D269" s="291"/>
      <c r="E269" s="291"/>
      <c r="F269" s="291"/>
      <c r="G269" s="291"/>
      <c r="H269" s="291"/>
      <c r="I269" s="291"/>
      <c r="J269" s="291"/>
      <c r="K269" s="291"/>
      <c r="L269" s="291"/>
      <c r="M269" s="291"/>
      <c r="N269" s="291"/>
      <c r="O269" s="291"/>
    </row>
    <row r="270" spans="1:15" s="284" customFormat="1" ht="18" customHeight="1" hidden="1">
      <c r="A270" s="291"/>
      <c r="B270" s="291"/>
      <c r="C270" s="291"/>
      <c r="D270" s="291"/>
      <c r="E270" s="291"/>
      <c r="F270" s="291"/>
      <c r="G270" s="291"/>
      <c r="H270" s="291"/>
      <c r="I270" s="291"/>
      <c r="J270" s="291"/>
      <c r="K270" s="291"/>
      <c r="L270" s="291"/>
      <c r="M270" s="291"/>
      <c r="N270" s="291"/>
      <c r="O270" s="291"/>
    </row>
    <row r="271" spans="1:15" s="284" customFormat="1" ht="18" customHeight="1" hidden="1">
      <c r="A271" s="291"/>
      <c r="B271" s="291"/>
      <c r="C271" s="291"/>
      <c r="D271" s="291"/>
      <c r="E271" s="291"/>
      <c r="F271" s="291"/>
      <c r="G271" s="291"/>
      <c r="H271" s="291"/>
      <c r="I271" s="291"/>
      <c r="J271" s="291"/>
      <c r="K271" s="291"/>
      <c r="L271" s="291"/>
      <c r="M271" s="291"/>
      <c r="N271" s="291"/>
      <c r="O271" s="291"/>
    </row>
    <row r="272" spans="1:15" s="284" customFormat="1" ht="18" customHeight="1" hidden="1">
      <c r="A272" s="291"/>
      <c r="B272" s="291"/>
      <c r="C272" s="291"/>
      <c r="D272" s="291"/>
      <c r="E272" s="291"/>
      <c r="F272" s="291"/>
      <c r="G272" s="291"/>
      <c r="H272" s="291"/>
      <c r="I272" s="291"/>
      <c r="J272" s="291"/>
      <c r="K272" s="291"/>
      <c r="L272" s="291"/>
      <c r="M272" s="291"/>
      <c r="N272" s="291"/>
      <c r="O272" s="291"/>
    </row>
    <row r="273" spans="1:15" s="284" customFormat="1" ht="18" customHeight="1" hidden="1">
      <c r="A273" s="291"/>
      <c r="B273" s="291"/>
      <c r="C273" s="291"/>
      <c r="D273" s="291"/>
      <c r="E273" s="291"/>
      <c r="F273" s="291"/>
      <c r="G273" s="291"/>
      <c r="H273" s="291"/>
      <c r="I273" s="291"/>
      <c r="J273" s="291"/>
      <c r="K273" s="291"/>
      <c r="L273" s="291"/>
      <c r="M273" s="291"/>
      <c r="N273" s="291"/>
      <c r="O273" s="291"/>
    </row>
    <row r="274" spans="1:15" s="284" customFormat="1" ht="18" customHeight="1" hidden="1">
      <c r="A274" s="291"/>
      <c r="B274" s="291"/>
      <c r="C274" s="291"/>
      <c r="D274" s="291"/>
      <c r="E274" s="291"/>
      <c r="F274" s="291"/>
      <c r="G274" s="291"/>
      <c r="H274" s="291"/>
      <c r="I274" s="291"/>
      <c r="J274" s="291"/>
      <c r="K274" s="291"/>
      <c r="L274" s="291"/>
      <c r="M274" s="291"/>
      <c r="N274" s="291"/>
      <c r="O274" s="291"/>
    </row>
    <row r="275" spans="1:15" s="284" customFormat="1" ht="18" customHeight="1" hidden="1">
      <c r="A275" s="291"/>
      <c r="B275" s="291"/>
      <c r="C275" s="291"/>
      <c r="D275" s="291"/>
      <c r="E275" s="291"/>
      <c r="F275" s="291"/>
      <c r="G275" s="291"/>
      <c r="H275" s="291"/>
      <c r="I275" s="291"/>
      <c r="J275" s="291"/>
      <c r="K275" s="291"/>
      <c r="L275" s="291"/>
      <c r="M275" s="291"/>
      <c r="N275" s="291"/>
      <c r="O275" s="291"/>
    </row>
    <row r="276" spans="1:15" s="284" customFormat="1" ht="18" customHeight="1" hidden="1">
      <c r="A276" s="291"/>
      <c r="B276" s="291"/>
      <c r="C276" s="291"/>
      <c r="D276" s="291"/>
      <c r="E276" s="291"/>
      <c r="F276" s="291"/>
      <c r="G276" s="291"/>
      <c r="H276" s="291"/>
      <c r="I276" s="291"/>
      <c r="J276" s="291"/>
      <c r="K276" s="291"/>
      <c r="L276" s="291"/>
      <c r="M276" s="291"/>
      <c r="N276" s="291"/>
      <c r="O276" s="291"/>
    </row>
    <row r="277" spans="1:15" s="284" customFormat="1" ht="18" customHeight="1" hidden="1">
      <c r="A277" s="291"/>
      <c r="B277" s="291"/>
      <c r="C277" s="291"/>
      <c r="D277" s="291"/>
      <c r="E277" s="291"/>
      <c r="F277" s="291"/>
      <c r="G277" s="291"/>
      <c r="H277" s="291"/>
      <c r="I277" s="291"/>
      <c r="J277" s="291"/>
      <c r="K277" s="291"/>
      <c r="L277" s="291"/>
      <c r="M277" s="291"/>
      <c r="N277" s="291"/>
      <c r="O277" s="291"/>
    </row>
    <row r="278" spans="1:15" s="284" customFormat="1" ht="18" customHeight="1" hidden="1">
      <c r="A278" s="291"/>
      <c r="B278" s="291"/>
      <c r="C278" s="291"/>
      <c r="D278" s="291"/>
      <c r="E278" s="291"/>
      <c r="F278" s="291"/>
      <c r="G278" s="291"/>
      <c r="H278" s="291"/>
      <c r="I278" s="291"/>
      <c r="J278" s="291"/>
      <c r="K278" s="291"/>
      <c r="L278" s="291"/>
      <c r="M278" s="291"/>
      <c r="N278" s="291"/>
      <c r="O278" s="291"/>
    </row>
    <row r="279" spans="1:15" s="284" customFormat="1" ht="18" customHeight="1" hidden="1">
      <c r="A279" s="291"/>
      <c r="B279" s="291"/>
      <c r="C279" s="291"/>
      <c r="D279" s="291"/>
      <c r="E279" s="291"/>
      <c r="F279" s="291"/>
      <c r="G279" s="291"/>
      <c r="H279" s="291"/>
      <c r="I279" s="291"/>
      <c r="J279" s="291"/>
      <c r="K279" s="291"/>
      <c r="L279" s="291"/>
      <c r="M279" s="291"/>
      <c r="N279" s="291"/>
      <c r="O279" s="291"/>
    </row>
    <row r="280" spans="1:15" s="284" customFormat="1" ht="18" customHeight="1" hidden="1">
      <c r="A280" s="291"/>
      <c r="B280" s="291"/>
      <c r="C280" s="291"/>
      <c r="D280" s="291"/>
      <c r="E280" s="291"/>
      <c r="F280" s="291"/>
      <c r="G280" s="291"/>
      <c r="H280" s="291"/>
      <c r="I280" s="291"/>
      <c r="J280" s="291"/>
      <c r="K280" s="291"/>
      <c r="L280" s="291"/>
      <c r="M280" s="291"/>
      <c r="N280" s="291"/>
      <c r="O280" s="291"/>
    </row>
    <row r="281" spans="1:15" s="284" customFormat="1" ht="18" customHeight="1" hidden="1">
      <c r="A281" s="291"/>
      <c r="B281" s="291"/>
      <c r="C281" s="291"/>
      <c r="D281" s="291"/>
      <c r="E281" s="291"/>
      <c r="F281" s="291"/>
      <c r="G281" s="291"/>
      <c r="H281" s="291"/>
      <c r="I281" s="291"/>
      <c r="J281" s="291"/>
      <c r="K281" s="291"/>
      <c r="L281" s="291"/>
      <c r="M281" s="291"/>
      <c r="N281" s="291"/>
      <c r="O281" s="291"/>
    </row>
    <row r="282" spans="1:15" s="284" customFormat="1" ht="18" customHeight="1" hidden="1">
      <c r="A282" s="291"/>
      <c r="B282" s="291"/>
      <c r="C282" s="291"/>
      <c r="D282" s="291"/>
      <c r="E282" s="291"/>
      <c r="F282" s="291"/>
      <c r="G282" s="291"/>
      <c r="H282" s="291"/>
      <c r="I282" s="291"/>
      <c r="J282" s="291"/>
      <c r="K282" s="291"/>
      <c r="L282" s="291"/>
      <c r="M282" s="291"/>
      <c r="N282" s="291"/>
      <c r="O282" s="291"/>
    </row>
    <row r="283" spans="1:15" s="284" customFormat="1" ht="18" customHeight="1" hidden="1">
      <c r="A283" s="291"/>
      <c r="B283" s="291"/>
      <c r="C283" s="291"/>
      <c r="D283" s="291"/>
      <c r="E283" s="291"/>
      <c r="F283" s="291"/>
      <c r="G283" s="291"/>
      <c r="H283" s="291"/>
      <c r="I283" s="291"/>
      <c r="J283" s="291"/>
      <c r="K283" s="291"/>
      <c r="L283" s="291"/>
      <c r="M283" s="291"/>
      <c r="N283" s="291"/>
      <c r="O283" s="291"/>
    </row>
    <row r="284" spans="1:15" s="284" customFormat="1" ht="18" customHeight="1" hidden="1">
      <c r="A284" s="291"/>
      <c r="B284" s="291"/>
      <c r="C284" s="291"/>
      <c r="D284" s="291"/>
      <c r="E284" s="291"/>
      <c r="F284" s="291"/>
      <c r="G284" s="291"/>
      <c r="H284" s="291"/>
      <c r="I284" s="291"/>
      <c r="J284" s="291"/>
      <c r="K284" s="291"/>
      <c r="L284" s="291"/>
      <c r="M284" s="291"/>
      <c r="N284" s="291"/>
      <c r="O284" s="291"/>
    </row>
    <row r="285" spans="1:15" s="284" customFormat="1" ht="18" customHeight="1" hidden="1">
      <c r="A285" s="291"/>
      <c r="B285" s="291"/>
      <c r="C285" s="291"/>
      <c r="D285" s="291"/>
      <c r="E285" s="291"/>
      <c r="F285" s="291"/>
      <c r="G285" s="291"/>
      <c r="H285" s="291"/>
      <c r="I285" s="291"/>
      <c r="J285" s="291"/>
      <c r="K285" s="291"/>
      <c r="L285" s="291"/>
      <c r="M285" s="291"/>
      <c r="N285" s="291"/>
      <c r="O285" s="291"/>
    </row>
    <row r="286" spans="1:15" s="284" customFormat="1" ht="18" customHeight="1" hidden="1">
      <c r="A286" s="291"/>
      <c r="B286" s="291"/>
      <c r="C286" s="291"/>
      <c r="D286" s="291"/>
      <c r="E286" s="291"/>
      <c r="F286" s="291"/>
      <c r="G286" s="291"/>
      <c r="H286" s="291"/>
      <c r="I286" s="291"/>
      <c r="J286" s="291"/>
      <c r="K286" s="291"/>
      <c r="L286" s="291"/>
      <c r="M286" s="291"/>
      <c r="N286" s="291"/>
      <c r="O286" s="291"/>
    </row>
    <row r="287" spans="1:15" s="284" customFormat="1" ht="18" customHeight="1" hidden="1">
      <c r="A287" s="291"/>
      <c r="B287" s="291"/>
      <c r="C287" s="291"/>
      <c r="D287" s="291"/>
      <c r="E287" s="291"/>
      <c r="F287" s="291"/>
      <c r="G287" s="291"/>
      <c r="H287" s="291"/>
      <c r="I287" s="291"/>
      <c r="J287" s="291"/>
      <c r="K287" s="291"/>
      <c r="L287" s="291"/>
      <c r="M287" s="291"/>
      <c r="N287" s="291"/>
      <c r="O287" s="291"/>
    </row>
    <row r="288" spans="1:15" s="284" customFormat="1" ht="18" customHeight="1" hidden="1">
      <c r="A288" s="291"/>
      <c r="B288" s="291"/>
      <c r="C288" s="291"/>
      <c r="D288" s="291"/>
      <c r="E288" s="291"/>
      <c r="F288" s="291"/>
      <c r="G288" s="291"/>
      <c r="H288" s="291"/>
      <c r="I288" s="291"/>
      <c r="J288" s="291"/>
      <c r="K288" s="291"/>
      <c r="L288" s="291"/>
      <c r="M288" s="291"/>
      <c r="N288" s="291"/>
      <c r="O288" s="291"/>
    </row>
    <row r="289" spans="1:15" s="284" customFormat="1" ht="18" customHeight="1" hidden="1">
      <c r="A289" s="291"/>
      <c r="B289" s="291"/>
      <c r="C289" s="291"/>
      <c r="D289" s="291"/>
      <c r="E289" s="291"/>
      <c r="F289" s="291"/>
      <c r="G289" s="291"/>
      <c r="H289" s="291"/>
      <c r="I289" s="291"/>
      <c r="J289" s="291"/>
      <c r="K289" s="291"/>
      <c r="L289" s="291"/>
      <c r="M289" s="291"/>
      <c r="N289" s="291"/>
      <c r="O289" s="291"/>
    </row>
    <row r="290" spans="1:15" s="284" customFormat="1" ht="18" customHeight="1" hidden="1">
      <c r="A290" s="291"/>
      <c r="B290" s="291"/>
      <c r="C290" s="291"/>
      <c r="D290" s="291"/>
      <c r="E290" s="291"/>
      <c r="F290" s="291"/>
      <c r="G290" s="291"/>
      <c r="H290" s="291"/>
      <c r="I290" s="291"/>
      <c r="J290" s="291"/>
      <c r="K290" s="291"/>
      <c r="L290" s="291"/>
      <c r="M290" s="291"/>
      <c r="N290" s="291"/>
      <c r="O290" s="291"/>
    </row>
    <row r="291" spans="1:15" s="284" customFormat="1" ht="18" customHeight="1" hidden="1">
      <c r="A291" s="291"/>
      <c r="B291" s="291"/>
      <c r="C291" s="291"/>
      <c r="D291" s="291"/>
      <c r="E291" s="291"/>
      <c r="F291" s="291"/>
      <c r="G291" s="291"/>
      <c r="H291" s="291"/>
      <c r="I291" s="291"/>
      <c r="J291" s="291"/>
      <c r="K291" s="291"/>
      <c r="L291" s="291"/>
      <c r="M291" s="291"/>
      <c r="N291" s="291"/>
      <c r="O291" s="291"/>
    </row>
    <row r="292" spans="1:15" s="284" customFormat="1" ht="18" customHeight="1" hidden="1">
      <c r="A292" s="291"/>
      <c r="B292" s="291"/>
      <c r="C292" s="291"/>
      <c r="D292" s="291"/>
      <c r="E292" s="291"/>
      <c r="F292" s="291"/>
      <c r="G292" s="291"/>
      <c r="H292" s="291"/>
      <c r="I292" s="291"/>
      <c r="J292" s="291"/>
      <c r="K292" s="291"/>
      <c r="L292" s="291"/>
      <c r="M292" s="291"/>
      <c r="N292" s="291"/>
      <c r="O292" s="291"/>
    </row>
    <row r="293" spans="1:15" s="284" customFormat="1" ht="18" customHeight="1" hidden="1">
      <c r="A293" s="291"/>
      <c r="B293" s="291"/>
      <c r="C293" s="291"/>
      <c r="D293" s="291"/>
      <c r="E293" s="291"/>
      <c r="F293" s="291"/>
      <c r="G293" s="291"/>
      <c r="H293" s="291"/>
      <c r="I293" s="291"/>
      <c r="J293" s="291"/>
      <c r="K293" s="291"/>
      <c r="L293" s="291"/>
      <c r="M293" s="291"/>
      <c r="N293" s="291"/>
      <c r="O293" s="291"/>
    </row>
    <row r="294" spans="1:15" s="284" customFormat="1" ht="18" customHeight="1" hidden="1">
      <c r="A294" s="291"/>
      <c r="B294" s="291"/>
      <c r="C294" s="291"/>
      <c r="D294" s="291"/>
      <c r="E294" s="291"/>
      <c r="F294" s="291"/>
      <c r="G294" s="291"/>
      <c r="H294" s="291"/>
      <c r="I294" s="291"/>
      <c r="J294" s="291"/>
      <c r="K294" s="291"/>
      <c r="L294" s="291"/>
      <c r="M294" s="291"/>
      <c r="N294" s="291"/>
      <c r="O294" s="291"/>
    </row>
    <row r="295" spans="1:15" s="284" customFormat="1" ht="18" customHeight="1" hidden="1">
      <c r="A295" s="291"/>
      <c r="B295" s="291"/>
      <c r="C295" s="291"/>
      <c r="D295" s="291"/>
      <c r="E295" s="291"/>
      <c r="F295" s="291"/>
      <c r="G295" s="291"/>
      <c r="H295" s="291"/>
      <c r="I295" s="291"/>
      <c r="J295" s="291"/>
      <c r="K295" s="291"/>
      <c r="L295" s="291"/>
      <c r="M295" s="291"/>
      <c r="N295" s="291"/>
      <c r="O295" s="291"/>
    </row>
    <row r="296" spans="1:15" s="284" customFormat="1" ht="18" customHeight="1" hidden="1">
      <c r="A296" s="291"/>
      <c r="B296" s="291"/>
      <c r="C296" s="291"/>
      <c r="D296" s="291"/>
      <c r="E296" s="291"/>
      <c r="F296" s="291"/>
      <c r="G296" s="291"/>
      <c r="H296" s="291"/>
      <c r="I296" s="291"/>
      <c r="J296" s="291"/>
      <c r="K296" s="291"/>
      <c r="L296" s="291"/>
      <c r="M296" s="291"/>
      <c r="N296" s="291"/>
      <c r="O296" s="291"/>
    </row>
    <row r="297" spans="1:15" s="284" customFormat="1" ht="18" customHeight="1" hidden="1">
      <c r="A297" s="291"/>
      <c r="B297" s="291"/>
      <c r="C297" s="291"/>
      <c r="D297" s="291"/>
      <c r="E297" s="291"/>
      <c r="F297" s="291"/>
      <c r="G297" s="291"/>
      <c r="H297" s="291"/>
      <c r="I297" s="291"/>
      <c r="J297" s="291"/>
      <c r="K297" s="291"/>
      <c r="L297" s="291"/>
      <c r="M297" s="291"/>
      <c r="N297" s="291"/>
      <c r="O297" s="291"/>
    </row>
    <row r="298" spans="1:15" s="284" customFormat="1" ht="18" customHeight="1" hidden="1">
      <c r="A298" s="291"/>
      <c r="B298" s="291"/>
      <c r="C298" s="291"/>
      <c r="D298" s="291"/>
      <c r="E298" s="291"/>
      <c r="F298" s="291"/>
      <c r="G298" s="291"/>
      <c r="H298" s="291"/>
      <c r="I298" s="291"/>
      <c r="J298" s="291"/>
      <c r="K298" s="291"/>
      <c r="L298" s="291"/>
      <c r="M298" s="291"/>
      <c r="N298" s="291"/>
      <c r="O298" s="291"/>
    </row>
    <row r="299" spans="1:15" s="284" customFormat="1" ht="18" customHeight="1" hidden="1">
      <c r="A299" s="291"/>
      <c r="B299" s="291"/>
      <c r="C299" s="291"/>
      <c r="D299" s="291"/>
      <c r="E299" s="291"/>
      <c r="F299" s="291"/>
      <c r="G299" s="291"/>
      <c r="H299" s="291"/>
      <c r="I299" s="291"/>
      <c r="J299" s="291"/>
      <c r="K299" s="291"/>
      <c r="L299" s="291"/>
      <c r="M299" s="291"/>
      <c r="N299" s="291"/>
      <c r="O299" s="291"/>
    </row>
    <row r="300" spans="1:15" s="284" customFormat="1" ht="18" customHeight="1" hidden="1">
      <c r="A300" s="291"/>
      <c r="B300" s="291"/>
      <c r="C300" s="291"/>
      <c r="D300" s="291"/>
      <c r="E300" s="291"/>
      <c r="F300" s="291"/>
      <c r="G300" s="291"/>
      <c r="H300" s="291"/>
      <c r="I300" s="291"/>
      <c r="J300" s="291"/>
      <c r="K300" s="291"/>
      <c r="L300" s="291"/>
      <c r="M300" s="291"/>
      <c r="N300" s="291"/>
      <c r="O300" s="291"/>
    </row>
    <row r="301" spans="1:15" s="284" customFormat="1" ht="18" customHeight="1" hidden="1">
      <c r="A301" s="291"/>
      <c r="B301" s="291"/>
      <c r="C301" s="291"/>
      <c r="D301" s="291"/>
      <c r="E301" s="291"/>
      <c r="F301" s="291"/>
      <c r="G301" s="291"/>
      <c r="H301" s="291"/>
      <c r="I301" s="291"/>
      <c r="J301" s="291"/>
      <c r="K301" s="291"/>
      <c r="L301" s="291"/>
      <c r="M301" s="291"/>
      <c r="N301" s="291"/>
      <c r="O301" s="291"/>
    </row>
    <row r="302" spans="1:15" s="284" customFormat="1" ht="18" customHeight="1" hidden="1">
      <c r="A302" s="291"/>
      <c r="B302" s="291"/>
      <c r="C302" s="291"/>
      <c r="D302" s="291"/>
      <c r="E302" s="291"/>
      <c r="F302" s="291"/>
      <c r="G302" s="291"/>
      <c r="H302" s="291"/>
      <c r="I302" s="291"/>
      <c r="J302" s="291"/>
      <c r="K302" s="291"/>
      <c r="L302" s="291"/>
      <c r="M302" s="291"/>
      <c r="N302" s="291"/>
      <c r="O302" s="291"/>
    </row>
    <row r="303" spans="1:15" s="284" customFormat="1" ht="18" customHeight="1" hidden="1">
      <c r="A303" s="291"/>
      <c r="B303" s="291"/>
      <c r="C303" s="291"/>
      <c r="D303" s="291"/>
      <c r="E303" s="291"/>
      <c r="F303" s="291"/>
      <c r="G303" s="291"/>
      <c r="H303" s="291"/>
      <c r="I303" s="291"/>
      <c r="J303" s="291"/>
      <c r="K303" s="291"/>
      <c r="L303" s="291"/>
      <c r="M303" s="291"/>
      <c r="N303" s="291"/>
      <c r="O303" s="291"/>
    </row>
    <row r="304" spans="1:15" s="284" customFormat="1" ht="18" customHeight="1" hidden="1">
      <c r="A304" s="291"/>
      <c r="B304" s="291"/>
      <c r="C304" s="291"/>
      <c r="D304" s="291"/>
      <c r="E304" s="291"/>
      <c r="F304" s="291"/>
      <c r="G304" s="291"/>
      <c r="H304" s="291"/>
      <c r="I304" s="291"/>
      <c r="J304" s="291"/>
      <c r="K304" s="291"/>
      <c r="L304" s="291"/>
      <c r="M304" s="291"/>
      <c r="N304" s="291"/>
      <c r="O304" s="291"/>
    </row>
    <row r="305" spans="1:15" s="284" customFormat="1" ht="18" customHeight="1" hidden="1">
      <c r="A305" s="291"/>
      <c r="B305" s="291"/>
      <c r="C305" s="291"/>
      <c r="D305" s="291"/>
      <c r="E305" s="291"/>
      <c r="F305" s="291"/>
      <c r="G305" s="291"/>
      <c r="H305" s="291"/>
      <c r="I305" s="291"/>
      <c r="J305" s="291"/>
      <c r="K305" s="291"/>
      <c r="L305" s="291"/>
      <c r="M305" s="291"/>
      <c r="N305" s="291"/>
      <c r="O305" s="291"/>
    </row>
    <row r="306" spans="1:15" s="284" customFormat="1" ht="18" customHeight="1" hidden="1">
      <c r="A306" s="291"/>
      <c r="B306" s="291"/>
      <c r="C306" s="291"/>
      <c r="D306" s="291"/>
      <c r="E306" s="291"/>
      <c r="F306" s="291"/>
      <c r="G306" s="291"/>
      <c r="H306" s="291"/>
      <c r="I306" s="291"/>
      <c r="J306" s="291"/>
      <c r="K306" s="291"/>
      <c r="L306" s="291"/>
      <c r="M306" s="291"/>
      <c r="N306" s="291"/>
      <c r="O306" s="291"/>
    </row>
    <row r="307" spans="1:15" s="284" customFormat="1" ht="18" customHeight="1" hidden="1">
      <c r="A307" s="291"/>
      <c r="B307" s="291"/>
      <c r="C307" s="291"/>
      <c r="D307" s="291"/>
      <c r="E307" s="291"/>
      <c r="F307" s="291"/>
      <c r="G307" s="291"/>
      <c r="H307" s="291"/>
      <c r="I307" s="291"/>
      <c r="J307" s="291"/>
      <c r="K307" s="291"/>
      <c r="L307" s="291"/>
      <c r="M307" s="291"/>
      <c r="N307" s="291"/>
      <c r="O307" s="291"/>
    </row>
    <row r="308" spans="1:15" s="284" customFormat="1" ht="18" customHeight="1" hidden="1">
      <c r="A308" s="291"/>
      <c r="B308" s="291"/>
      <c r="C308" s="291"/>
      <c r="D308" s="291"/>
      <c r="E308" s="291"/>
      <c r="F308" s="291"/>
      <c r="G308" s="291"/>
      <c r="H308" s="291"/>
      <c r="I308" s="291"/>
      <c r="J308" s="291"/>
      <c r="K308" s="291"/>
      <c r="L308" s="291"/>
      <c r="M308" s="291"/>
      <c r="N308" s="291"/>
      <c r="O308" s="291"/>
    </row>
    <row r="309" spans="1:15" s="284" customFormat="1" ht="18" customHeight="1" hidden="1">
      <c r="A309" s="291"/>
      <c r="B309" s="291"/>
      <c r="C309" s="291"/>
      <c r="D309" s="291"/>
      <c r="E309" s="291"/>
      <c r="F309" s="291"/>
      <c r="G309" s="291"/>
      <c r="H309" s="291"/>
      <c r="I309" s="291"/>
      <c r="J309" s="291"/>
      <c r="K309" s="291"/>
      <c r="L309" s="291"/>
      <c r="M309" s="291"/>
      <c r="N309" s="291"/>
      <c r="O309" s="291"/>
    </row>
    <row r="310" spans="1:15" s="284" customFormat="1" ht="18" customHeight="1" hidden="1">
      <c r="A310" s="291"/>
      <c r="B310" s="291"/>
      <c r="C310" s="291"/>
      <c r="D310" s="291"/>
      <c r="E310" s="291"/>
      <c r="F310" s="291"/>
      <c r="G310" s="291"/>
      <c r="H310" s="291"/>
      <c r="I310" s="291"/>
      <c r="J310" s="291"/>
      <c r="K310" s="291"/>
      <c r="L310" s="291"/>
      <c r="M310" s="291"/>
      <c r="N310" s="291"/>
      <c r="O310" s="291"/>
    </row>
    <row r="311" spans="1:15" s="284" customFormat="1" ht="18" customHeight="1" hidden="1">
      <c r="A311" s="291"/>
      <c r="B311" s="291"/>
      <c r="C311" s="291"/>
      <c r="D311" s="291"/>
      <c r="E311" s="291"/>
      <c r="F311" s="291"/>
      <c r="G311" s="291"/>
      <c r="H311" s="291"/>
      <c r="I311" s="291"/>
      <c r="J311" s="291"/>
      <c r="K311" s="291"/>
      <c r="L311" s="291"/>
      <c r="M311" s="291"/>
      <c r="N311" s="291"/>
      <c r="O311" s="291"/>
    </row>
    <row r="312" spans="1:15" s="284" customFormat="1" ht="18" customHeight="1" hidden="1">
      <c r="A312" s="291"/>
      <c r="B312" s="291"/>
      <c r="C312" s="291"/>
      <c r="D312" s="291"/>
      <c r="E312" s="291"/>
      <c r="F312" s="291"/>
      <c r="G312" s="291"/>
      <c r="H312" s="291"/>
      <c r="I312" s="291"/>
      <c r="J312" s="291"/>
      <c r="K312" s="291"/>
      <c r="L312" s="291"/>
      <c r="M312" s="291"/>
      <c r="N312" s="291"/>
      <c r="O312" s="291"/>
    </row>
    <row r="313" spans="1:15" s="284" customFormat="1" ht="18" customHeight="1" hidden="1">
      <c r="A313" s="291"/>
      <c r="B313" s="291"/>
      <c r="C313" s="291"/>
      <c r="D313" s="291"/>
      <c r="E313" s="291"/>
      <c r="F313" s="291"/>
      <c r="G313" s="291"/>
      <c r="H313" s="291"/>
      <c r="I313" s="291"/>
      <c r="J313" s="291"/>
      <c r="K313" s="291"/>
      <c r="L313" s="291"/>
      <c r="M313" s="291"/>
      <c r="N313" s="291"/>
      <c r="O313" s="291"/>
    </row>
    <row r="314" spans="1:15" s="284" customFormat="1" ht="18" customHeight="1" hidden="1">
      <c r="A314" s="291"/>
      <c r="B314" s="291"/>
      <c r="C314" s="291"/>
      <c r="D314" s="291"/>
      <c r="E314" s="291"/>
      <c r="F314" s="291"/>
      <c r="G314" s="291"/>
      <c r="H314" s="291"/>
      <c r="I314" s="291"/>
      <c r="J314" s="291"/>
      <c r="K314" s="291"/>
      <c r="L314" s="291"/>
      <c r="M314" s="291"/>
      <c r="N314" s="291"/>
      <c r="O314" s="291"/>
    </row>
    <row r="315" spans="1:15" s="284" customFormat="1" ht="18" customHeight="1" hidden="1">
      <c r="A315" s="291"/>
      <c r="B315" s="291"/>
      <c r="C315" s="291"/>
      <c r="D315" s="291"/>
      <c r="E315" s="291"/>
      <c r="F315" s="291"/>
      <c r="G315" s="291"/>
      <c r="H315" s="291"/>
      <c r="I315" s="291"/>
      <c r="J315" s="291"/>
      <c r="K315" s="291"/>
      <c r="L315" s="291"/>
      <c r="M315" s="291"/>
      <c r="N315" s="291"/>
      <c r="O315" s="291"/>
    </row>
    <row r="316" spans="1:15" s="284" customFormat="1" ht="18" customHeight="1" hidden="1">
      <c r="A316" s="291"/>
      <c r="B316" s="291"/>
      <c r="C316" s="291"/>
      <c r="D316" s="291"/>
      <c r="E316" s="291"/>
      <c r="F316" s="291"/>
      <c r="G316" s="291"/>
      <c r="H316" s="291"/>
      <c r="I316" s="291"/>
      <c r="J316" s="291"/>
      <c r="K316" s="291"/>
      <c r="L316" s="291"/>
      <c r="M316" s="291"/>
      <c r="N316" s="291"/>
      <c r="O316" s="291"/>
    </row>
    <row r="317" spans="1:15" s="284" customFormat="1" ht="18" customHeight="1" hidden="1">
      <c r="A317" s="291"/>
      <c r="B317" s="291"/>
      <c r="C317" s="291"/>
      <c r="D317" s="291"/>
      <c r="E317" s="291"/>
      <c r="F317" s="291"/>
      <c r="G317" s="291"/>
      <c r="H317" s="291"/>
      <c r="I317" s="291"/>
      <c r="J317" s="291"/>
      <c r="K317" s="291"/>
      <c r="L317" s="291"/>
      <c r="M317" s="291"/>
      <c r="N317" s="291"/>
      <c r="O317" s="291"/>
    </row>
    <row r="318" spans="1:15" s="284" customFormat="1" ht="18" customHeight="1" hidden="1">
      <c r="A318" s="291"/>
      <c r="B318" s="291"/>
      <c r="C318" s="291"/>
      <c r="D318" s="291"/>
      <c r="E318" s="291"/>
      <c r="F318" s="291"/>
      <c r="G318" s="291"/>
      <c r="H318" s="291"/>
      <c r="I318" s="291"/>
      <c r="J318" s="291"/>
      <c r="K318" s="291"/>
      <c r="L318" s="291"/>
      <c r="M318" s="291"/>
      <c r="N318" s="291"/>
      <c r="O318" s="291"/>
    </row>
    <row r="319" spans="1:15" s="284" customFormat="1" ht="18" customHeight="1" hidden="1">
      <c r="A319" s="291"/>
      <c r="B319" s="291"/>
      <c r="C319" s="291"/>
      <c r="D319" s="291"/>
      <c r="E319" s="291"/>
      <c r="F319" s="291"/>
      <c r="G319" s="291"/>
      <c r="H319" s="291"/>
      <c r="I319" s="291"/>
      <c r="J319" s="291"/>
      <c r="K319" s="291"/>
      <c r="L319" s="291"/>
      <c r="M319" s="291"/>
      <c r="N319" s="291"/>
      <c r="O319" s="291"/>
    </row>
    <row r="320" spans="1:15" s="284" customFormat="1" ht="18" customHeight="1" hidden="1">
      <c r="A320" s="291"/>
      <c r="B320" s="291"/>
      <c r="C320" s="291"/>
      <c r="D320" s="291"/>
      <c r="E320" s="291"/>
      <c r="F320" s="291"/>
      <c r="G320" s="291"/>
      <c r="H320" s="291"/>
      <c r="I320" s="291"/>
      <c r="J320" s="291"/>
      <c r="K320" s="291"/>
      <c r="L320" s="291"/>
      <c r="M320" s="291"/>
      <c r="N320" s="291"/>
      <c r="O320" s="291"/>
    </row>
    <row r="321" spans="1:15" s="284" customFormat="1" ht="18" customHeight="1" hidden="1">
      <c r="A321" s="291"/>
      <c r="B321" s="291"/>
      <c r="C321" s="291"/>
      <c r="D321" s="291"/>
      <c r="E321" s="291"/>
      <c r="F321" s="291"/>
      <c r="G321" s="291"/>
      <c r="H321" s="291"/>
      <c r="I321" s="291"/>
      <c r="J321" s="291"/>
      <c r="K321" s="291"/>
      <c r="L321" s="291"/>
      <c r="M321" s="291"/>
      <c r="N321" s="291"/>
      <c r="O321" s="291"/>
    </row>
    <row r="322" spans="1:15" s="284" customFormat="1" ht="18" customHeight="1" hidden="1">
      <c r="A322" s="291"/>
      <c r="B322" s="291"/>
      <c r="C322" s="291"/>
      <c r="D322" s="291"/>
      <c r="E322" s="291"/>
      <c r="F322" s="291"/>
      <c r="G322" s="291"/>
      <c r="H322" s="291"/>
      <c r="I322" s="291"/>
      <c r="J322" s="291"/>
      <c r="K322" s="291"/>
      <c r="L322" s="291"/>
      <c r="M322" s="291"/>
      <c r="N322" s="291"/>
      <c r="O322" s="291"/>
    </row>
    <row r="323" spans="1:15" s="284" customFormat="1" ht="18" customHeight="1" hidden="1">
      <c r="A323" s="291"/>
      <c r="B323" s="291"/>
      <c r="C323" s="291"/>
      <c r="D323" s="291"/>
      <c r="E323" s="291"/>
      <c r="F323" s="291"/>
      <c r="G323" s="291"/>
      <c r="H323" s="291"/>
      <c r="I323" s="291"/>
      <c r="J323" s="291"/>
      <c r="K323" s="291"/>
      <c r="L323" s="291"/>
      <c r="M323" s="291"/>
      <c r="N323" s="291"/>
      <c r="O323" s="291"/>
    </row>
    <row r="324" spans="1:15" s="284" customFormat="1" ht="18" customHeight="1" hidden="1">
      <c r="A324" s="291"/>
      <c r="B324" s="291"/>
      <c r="C324" s="291"/>
      <c r="D324" s="291"/>
      <c r="E324" s="291"/>
      <c r="F324" s="291"/>
      <c r="G324" s="291"/>
      <c r="H324" s="291"/>
      <c r="I324" s="291"/>
      <c r="J324" s="291"/>
      <c r="K324" s="291"/>
      <c r="L324" s="291"/>
      <c r="M324" s="291"/>
      <c r="N324" s="291"/>
      <c r="O324" s="291"/>
    </row>
    <row r="325" spans="1:15" s="284" customFormat="1" ht="18" customHeight="1" hidden="1">
      <c r="A325" s="291"/>
      <c r="B325" s="291"/>
      <c r="C325" s="291"/>
      <c r="D325" s="291"/>
      <c r="E325" s="291"/>
      <c r="F325" s="291"/>
      <c r="G325" s="291"/>
      <c r="H325" s="291"/>
      <c r="I325" s="291"/>
      <c r="J325" s="291"/>
      <c r="K325" s="291"/>
      <c r="L325" s="291"/>
      <c r="M325" s="291"/>
      <c r="N325" s="291"/>
      <c r="O325" s="291"/>
    </row>
    <row r="326" spans="1:15" s="284" customFormat="1" ht="18" customHeight="1" hidden="1">
      <c r="A326" s="291"/>
      <c r="B326" s="291"/>
      <c r="C326" s="291"/>
      <c r="D326" s="291"/>
      <c r="E326" s="291"/>
      <c r="F326" s="291"/>
      <c r="G326" s="291"/>
      <c r="H326" s="291"/>
      <c r="I326" s="291"/>
      <c r="J326" s="291"/>
      <c r="K326" s="291"/>
      <c r="L326" s="291"/>
      <c r="M326" s="291"/>
      <c r="N326" s="291"/>
      <c r="O326" s="291"/>
    </row>
    <row r="327" spans="1:15" s="284" customFormat="1" ht="18" customHeight="1" hidden="1">
      <c r="A327" s="291"/>
      <c r="B327" s="291"/>
      <c r="C327" s="291"/>
      <c r="D327" s="291"/>
      <c r="E327" s="291"/>
      <c r="F327" s="291"/>
      <c r="G327" s="291"/>
      <c r="H327" s="291"/>
      <c r="I327" s="291"/>
      <c r="J327" s="291"/>
      <c r="K327" s="291"/>
      <c r="L327" s="291"/>
      <c r="M327" s="291"/>
      <c r="N327" s="291"/>
      <c r="O327" s="291"/>
    </row>
    <row r="328" spans="1:15" s="284" customFormat="1" ht="18" customHeight="1" hidden="1">
      <c r="A328" s="291"/>
      <c r="B328" s="291"/>
      <c r="C328" s="291"/>
      <c r="D328" s="291"/>
      <c r="E328" s="291"/>
      <c r="F328" s="291"/>
      <c r="G328" s="291"/>
      <c r="H328" s="291"/>
      <c r="I328" s="291"/>
      <c r="J328" s="291"/>
      <c r="K328" s="291"/>
      <c r="L328" s="291"/>
      <c r="M328" s="291"/>
      <c r="N328" s="291"/>
      <c r="O328" s="291"/>
    </row>
    <row r="329" spans="1:15" s="284" customFormat="1" ht="18" customHeight="1" hidden="1">
      <c r="A329" s="291"/>
      <c r="B329" s="291"/>
      <c r="C329" s="291"/>
      <c r="D329" s="291"/>
      <c r="E329" s="291"/>
      <c r="F329" s="291"/>
      <c r="G329" s="291"/>
      <c r="H329" s="291"/>
      <c r="I329" s="291"/>
      <c r="J329" s="291"/>
      <c r="K329" s="291"/>
      <c r="L329" s="291"/>
      <c r="M329" s="291"/>
      <c r="N329" s="291"/>
      <c r="O329" s="291"/>
    </row>
    <row r="330" spans="1:15" s="284" customFormat="1" ht="18" customHeight="1" hidden="1">
      <c r="A330" s="291"/>
      <c r="B330" s="291"/>
      <c r="C330" s="291"/>
      <c r="D330" s="291"/>
      <c r="E330" s="291"/>
      <c r="F330" s="291"/>
      <c r="G330" s="291"/>
      <c r="H330" s="291"/>
      <c r="I330" s="291"/>
      <c r="J330" s="291"/>
      <c r="K330" s="291"/>
      <c r="L330" s="291"/>
      <c r="M330" s="291"/>
      <c r="N330" s="291"/>
      <c r="O330" s="291"/>
    </row>
    <row r="331" spans="1:15" s="284" customFormat="1" ht="18" customHeight="1" hidden="1">
      <c r="A331" s="291"/>
      <c r="B331" s="291"/>
      <c r="C331" s="291"/>
      <c r="D331" s="291"/>
      <c r="E331" s="291"/>
      <c r="F331" s="291"/>
      <c r="G331" s="291"/>
      <c r="H331" s="291"/>
      <c r="I331" s="291"/>
      <c r="J331" s="291"/>
      <c r="K331" s="291"/>
      <c r="L331" s="291"/>
      <c r="M331" s="291"/>
      <c r="N331" s="291"/>
      <c r="O331" s="291"/>
    </row>
    <row r="332" spans="1:15" s="284" customFormat="1" ht="18" customHeight="1" hidden="1">
      <c r="A332" s="291"/>
      <c r="B332" s="291"/>
      <c r="C332" s="291"/>
      <c r="D332" s="291"/>
      <c r="E332" s="291"/>
      <c r="F332" s="291"/>
      <c r="G332" s="291"/>
      <c r="H332" s="291"/>
      <c r="I332" s="291"/>
      <c r="J332" s="291"/>
      <c r="K332" s="291"/>
      <c r="L332" s="291"/>
      <c r="M332" s="291"/>
      <c r="N332" s="291"/>
      <c r="O332" s="291"/>
    </row>
    <row r="333" spans="1:15" s="284" customFormat="1" ht="18" customHeight="1" hidden="1">
      <c r="A333" s="291"/>
      <c r="B333" s="291"/>
      <c r="C333" s="291"/>
      <c r="D333" s="291"/>
      <c r="E333" s="291"/>
      <c r="F333" s="291"/>
      <c r="G333" s="291"/>
      <c r="H333" s="291"/>
      <c r="I333" s="291"/>
      <c r="J333" s="291"/>
      <c r="K333" s="291"/>
      <c r="L333" s="291"/>
      <c r="M333" s="291"/>
      <c r="N333" s="291"/>
      <c r="O333" s="291"/>
    </row>
    <row r="334" spans="1:15" s="284" customFormat="1" ht="18" customHeight="1" hidden="1">
      <c r="A334" s="291"/>
      <c r="B334" s="291"/>
      <c r="C334" s="291"/>
      <c r="D334" s="291"/>
      <c r="E334" s="291"/>
      <c r="F334" s="291"/>
      <c r="G334" s="291"/>
      <c r="H334" s="291"/>
      <c r="I334" s="291"/>
      <c r="J334" s="291"/>
      <c r="K334" s="291"/>
      <c r="L334" s="291"/>
      <c r="M334" s="291"/>
      <c r="N334" s="291"/>
      <c r="O334" s="291"/>
    </row>
    <row r="335" spans="1:15" s="284" customFormat="1" ht="18" customHeight="1" hidden="1">
      <c r="A335" s="291"/>
      <c r="B335" s="291"/>
      <c r="C335" s="291"/>
      <c r="D335" s="291"/>
      <c r="E335" s="291"/>
      <c r="F335" s="291"/>
      <c r="G335" s="291"/>
      <c r="H335" s="291"/>
      <c r="I335" s="291"/>
      <c r="J335" s="291"/>
      <c r="K335" s="291"/>
      <c r="L335" s="291"/>
      <c r="M335" s="291"/>
      <c r="N335" s="291"/>
      <c r="O335" s="291"/>
    </row>
    <row r="336" spans="1:15" s="284" customFormat="1" ht="18" customHeight="1" hidden="1">
      <c r="A336" s="291"/>
      <c r="B336" s="291"/>
      <c r="C336" s="291"/>
      <c r="D336" s="291"/>
      <c r="E336" s="291"/>
      <c r="F336" s="291"/>
      <c r="G336" s="291"/>
      <c r="H336" s="291"/>
      <c r="I336" s="291"/>
      <c r="J336" s="291"/>
      <c r="K336" s="291"/>
      <c r="L336" s="291"/>
      <c r="M336" s="291"/>
      <c r="N336" s="291"/>
      <c r="O336" s="291"/>
    </row>
    <row r="337" spans="1:15" s="284" customFormat="1" ht="18" customHeight="1" hidden="1">
      <c r="A337" s="291"/>
      <c r="B337" s="291"/>
      <c r="C337" s="291"/>
      <c r="D337" s="291"/>
      <c r="E337" s="291"/>
      <c r="F337" s="291"/>
      <c r="G337" s="291"/>
      <c r="H337" s="291"/>
      <c r="I337" s="291"/>
      <c r="J337" s="291"/>
      <c r="K337" s="291"/>
      <c r="L337" s="291"/>
      <c r="M337" s="291"/>
      <c r="N337" s="291"/>
      <c r="O337" s="291"/>
    </row>
    <row r="338" spans="1:15" s="284" customFormat="1" ht="18" customHeight="1" hidden="1">
      <c r="A338" s="291"/>
      <c r="B338" s="291"/>
      <c r="C338" s="291"/>
      <c r="D338" s="291"/>
      <c r="E338" s="291"/>
      <c r="F338" s="291"/>
      <c r="G338" s="291"/>
      <c r="H338" s="291"/>
      <c r="I338" s="291"/>
      <c r="J338" s="291"/>
      <c r="K338" s="291"/>
      <c r="L338" s="291"/>
      <c r="M338" s="291"/>
      <c r="N338" s="291"/>
      <c r="O338" s="291"/>
    </row>
    <row r="339" spans="1:15" s="284" customFormat="1" ht="18" customHeight="1" hidden="1">
      <c r="A339" s="291"/>
      <c r="B339" s="291"/>
      <c r="C339" s="291"/>
      <c r="D339" s="291"/>
      <c r="E339" s="291"/>
      <c r="F339" s="291"/>
      <c r="G339" s="291"/>
      <c r="H339" s="291"/>
      <c r="I339" s="291"/>
      <c r="J339" s="291"/>
      <c r="K339" s="291"/>
      <c r="L339" s="291"/>
      <c r="M339" s="291"/>
      <c r="N339" s="291"/>
      <c r="O339" s="291"/>
    </row>
    <row r="340" spans="1:15" s="284" customFormat="1" ht="18" customHeight="1" hidden="1">
      <c r="A340" s="291"/>
      <c r="B340" s="291"/>
      <c r="C340" s="291"/>
      <c r="D340" s="291"/>
      <c r="E340" s="291"/>
      <c r="F340" s="291"/>
      <c r="G340" s="291"/>
      <c r="H340" s="291"/>
      <c r="I340" s="291"/>
      <c r="J340" s="291"/>
      <c r="K340" s="291"/>
      <c r="L340" s="291"/>
      <c r="M340" s="291"/>
      <c r="N340" s="291"/>
      <c r="O340" s="291"/>
    </row>
    <row r="341" spans="1:15" s="284" customFormat="1" ht="18" customHeight="1" hidden="1">
      <c r="A341" s="291"/>
      <c r="B341" s="291"/>
      <c r="C341" s="291"/>
      <c r="D341" s="291"/>
      <c r="E341" s="291"/>
      <c r="F341" s="291"/>
      <c r="G341" s="291"/>
      <c r="H341" s="291"/>
      <c r="I341" s="291"/>
      <c r="J341" s="291"/>
      <c r="K341" s="291"/>
      <c r="L341" s="291"/>
      <c r="M341" s="291"/>
      <c r="N341" s="291"/>
      <c r="O341" s="291"/>
    </row>
    <row r="342" spans="1:15" s="284" customFormat="1" ht="18" customHeight="1" hidden="1">
      <c r="A342" s="291"/>
      <c r="B342" s="291"/>
      <c r="C342" s="291"/>
      <c r="D342" s="291"/>
      <c r="E342" s="291"/>
      <c r="F342" s="291"/>
      <c r="G342" s="291"/>
      <c r="H342" s="291"/>
      <c r="I342" s="291"/>
      <c r="J342" s="291"/>
      <c r="K342" s="291"/>
      <c r="L342" s="291"/>
      <c r="M342" s="291"/>
      <c r="N342" s="291"/>
      <c r="O342" s="291"/>
    </row>
    <row r="343" spans="1:15" s="284" customFormat="1" ht="18" customHeight="1" hidden="1">
      <c r="A343" s="291"/>
      <c r="B343" s="291"/>
      <c r="C343" s="291"/>
      <c r="D343" s="291"/>
      <c r="E343" s="291"/>
      <c r="F343" s="291"/>
      <c r="G343" s="291"/>
      <c r="H343" s="291"/>
      <c r="I343" s="291"/>
      <c r="J343" s="291"/>
      <c r="K343" s="291"/>
      <c r="L343" s="291"/>
      <c r="M343" s="291"/>
      <c r="N343" s="291"/>
      <c r="O343" s="291"/>
    </row>
    <row r="344" spans="1:15" s="284" customFormat="1" ht="18" customHeight="1" hidden="1">
      <c r="A344" s="291"/>
      <c r="B344" s="291"/>
      <c r="C344" s="291"/>
      <c r="D344" s="291"/>
      <c r="E344" s="291"/>
      <c r="F344" s="291"/>
      <c r="G344" s="291"/>
      <c r="H344" s="291"/>
      <c r="I344" s="291"/>
      <c r="J344" s="291"/>
      <c r="K344" s="291"/>
      <c r="L344" s="291"/>
      <c r="M344" s="291"/>
      <c r="N344" s="291"/>
      <c r="O344" s="291"/>
    </row>
    <row r="345" spans="1:15" s="284" customFormat="1" ht="18" customHeight="1" hidden="1">
      <c r="A345" s="291"/>
      <c r="B345" s="291"/>
      <c r="C345" s="291"/>
      <c r="D345" s="291"/>
      <c r="E345" s="291"/>
      <c r="F345" s="291"/>
      <c r="G345" s="291"/>
      <c r="H345" s="291"/>
      <c r="I345" s="291"/>
      <c r="J345" s="291"/>
      <c r="K345" s="291"/>
      <c r="L345" s="291"/>
      <c r="M345" s="291"/>
      <c r="N345" s="291"/>
      <c r="O345" s="291"/>
    </row>
    <row r="346" spans="1:15" s="284" customFormat="1" ht="18" customHeight="1" hidden="1">
      <c r="A346" s="291"/>
      <c r="B346" s="291"/>
      <c r="C346" s="291"/>
      <c r="D346" s="291"/>
      <c r="E346" s="291"/>
      <c r="F346" s="291"/>
      <c r="G346" s="291"/>
      <c r="H346" s="291"/>
      <c r="I346" s="291"/>
      <c r="J346" s="291"/>
      <c r="K346" s="291"/>
      <c r="L346" s="291"/>
      <c r="M346" s="291"/>
      <c r="N346" s="291"/>
      <c r="O346" s="291"/>
    </row>
    <row r="347" spans="1:15" s="284" customFormat="1" ht="18" customHeight="1" hidden="1">
      <c r="A347" s="291"/>
      <c r="B347" s="291"/>
      <c r="C347" s="291"/>
      <c r="D347" s="291"/>
      <c r="E347" s="291"/>
      <c r="F347" s="291"/>
      <c r="G347" s="291"/>
      <c r="H347" s="291"/>
      <c r="I347" s="291"/>
      <c r="J347" s="291"/>
      <c r="K347" s="291"/>
      <c r="L347" s="291"/>
      <c r="M347" s="291"/>
      <c r="N347" s="291"/>
      <c r="O347" s="291"/>
    </row>
    <row r="348" spans="1:15" s="284" customFormat="1" ht="18" customHeight="1" hidden="1">
      <c r="A348" s="291"/>
      <c r="B348" s="291"/>
      <c r="C348" s="291"/>
      <c r="D348" s="291"/>
      <c r="E348" s="291"/>
      <c r="F348" s="291"/>
      <c r="G348" s="291"/>
      <c r="H348" s="291"/>
      <c r="I348" s="291"/>
      <c r="J348" s="291"/>
      <c r="K348" s="291"/>
      <c r="L348" s="291"/>
      <c r="M348" s="291"/>
      <c r="N348" s="291"/>
      <c r="O348" s="291"/>
    </row>
    <row r="349" spans="1:15" s="284" customFormat="1" ht="18" customHeight="1" hidden="1">
      <c r="A349" s="291"/>
      <c r="B349" s="291"/>
      <c r="C349" s="291"/>
      <c r="D349" s="291"/>
      <c r="E349" s="291"/>
      <c r="F349" s="291"/>
      <c r="G349" s="291"/>
      <c r="H349" s="291"/>
      <c r="I349" s="291"/>
      <c r="J349" s="291"/>
      <c r="K349" s="291"/>
      <c r="L349" s="291"/>
      <c r="M349" s="291"/>
      <c r="N349" s="291"/>
      <c r="O349" s="291"/>
    </row>
    <row r="350" spans="1:15" s="284" customFormat="1" ht="18" customHeight="1" hidden="1">
      <c r="A350" s="291"/>
      <c r="B350" s="291"/>
      <c r="C350" s="291"/>
      <c r="D350" s="291"/>
      <c r="E350" s="291"/>
      <c r="F350" s="291"/>
      <c r="G350" s="291"/>
      <c r="H350" s="291"/>
      <c r="I350" s="291"/>
      <c r="J350" s="291"/>
      <c r="K350" s="291"/>
      <c r="L350" s="291"/>
      <c r="M350" s="291"/>
      <c r="N350" s="291"/>
      <c r="O350" s="291"/>
    </row>
    <row r="351" spans="1:15" s="284" customFormat="1" ht="18" customHeight="1" hidden="1">
      <c r="A351" s="291"/>
      <c r="B351" s="291"/>
      <c r="C351" s="291"/>
      <c r="D351" s="291"/>
      <c r="E351" s="291"/>
      <c r="F351" s="291"/>
      <c r="G351" s="291"/>
      <c r="H351" s="291"/>
      <c r="I351" s="291"/>
      <c r="J351" s="291"/>
      <c r="K351" s="291"/>
      <c r="L351" s="291"/>
      <c r="M351" s="291"/>
      <c r="N351" s="291"/>
      <c r="O351" s="291"/>
    </row>
    <row r="352" spans="1:15" s="284" customFormat="1" ht="18" customHeight="1" hidden="1">
      <c r="A352" s="291"/>
      <c r="B352" s="291"/>
      <c r="C352" s="291"/>
      <c r="D352" s="291"/>
      <c r="E352" s="291"/>
      <c r="F352" s="291"/>
      <c r="G352" s="291"/>
      <c r="H352" s="291"/>
      <c r="I352" s="291"/>
      <c r="J352" s="291"/>
      <c r="K352" s="291"/>
      <c r="L352" s="291"/>
      <c r="M352" s="291"/>
      <c r="N352" s="291"/>
      <c r="O352" s="291"/>
    </row>
    <row r="353" spans="1:15" s="284" customFormat="1" ht="18" customHeight="1" hidden="1">
      <c r="A353" s="291"/>
      <c r="B353" s="291"/>
      <c r="C353" s="291"/>
      <c r="D353" s="291"/>
      <c r="E353" s="291"/>
      <c r="F353" s="291"/>
      <c r="G353" s="291"/>
      <c r="H353" s="291"/>
      <c r="I353" s="291"/>
      <c r="J353" s="291"/>
      <c r="K353" s="291"/>
      <c r="L353" s="291"/>
      <c r="M353" s="291"/>
      <c r="N353" s="291"/>
      <c r="O353" s="291"/>
    </row>
    <row r="354" spans="1:15" s="284" customFormat="1" ht="18" customHeight="1" hidden="1">
      <c r="A354" s="291"/>
      <c r="B354" s="291"/>
      <c r="C354" s="291"/>
      <c r="D354" s="291"/>
      <c r="E354" s="291"/>
      <c r="F354" s="291"/>
      <c r="G354" s="291"/>
      <c r="H354" s="291"/>
      <c r="I354" s="291"/>
      <c r="J354" s="291"/>
      <c r="K354" s="291"/>
      <c r="L354" s="291"/>
      <c r="M354" s="291"/>
      <c r="N354" s="291"/>
      <c r="O354" s="291"/>
    </row>
    <row r="355" spans="1:15" s="284" customFormat="1" ht="18" customHeight="1" hidden="1">
      <c r="A355" s="291"/>
      <c r="B355" s="291"/>
      <c r="C355" s="291"/>
      <c r="D355" s="291"/>
      <c r="E355" s="291"/>
      <c r="F355" s="291"/>
      <c r="G355" s="291"/>
      <c r="H355" s="291"/>
      <c r="I355" s="291"/>
      <c r="J355" s="291"/>
      <c r="K355" s="291"/>
      <c r="L355" s="291"/>
      <c r="M355" s="291"/>
      <c r="N355" s="291"/>
      <c r="O355" s="291"/>
    </row>
    <row r="356" spans="1:15" s="284" customFormat="1" ht="18" customHeight="1" hidden="1">
      <c r="A356" s="291"/>
      <c r="B356" s="291"/>
      <c r="C356" s="291"/>
      <c r="D356" s="291"/>
      <c r="E356" s="291"/>
      <c r="F356" s="291"/>
      <c r="G356" s="291"/>
      <c r="H356" s="291"/>
      <c r="I356" s="291"/>
      <c r="J356" s="291"/>
      <c r="K356" s="291"/>
      <c r="L356" s="291"/>
      <c r="M356" s="291"/>
      <c r="N356" s="291"/>
      <c r="O356" s="291"/>
    </row>
    <row r="357" spans="1:15" s="284" customFormat="1" ht="18" customHeight="1" hidden="1">
      <c r="A357" s="291"/>
      <c r="B357" s="291"/>
      <c r="C357" s="291"/>
      <c r="D357" s="291"/>
      <c r="E357" s="291"/>
      <c r="F357" s="291"/>
      <c r="G357" s="291"/>
      <c r="H357" s="291"/>
      <c r="I357" s="291"/>
      <c r="J357" s="291"/>
      <c r="K357" s="291"/>
      <c r="L357" s="291"/>
      <c r="M357" s="291"/>
      <c r="N357" s="291"/>
      <c r="O357" s="291"/>
    </row>
    <row r="358" spans="1:15" s="284" customFormat="1" ht="18" customHeight="1" hidden="1">
      <c r="A358" s="291"/>
      <c r="B358" s="291"/>
      <c r="C358" s="291"/>
      <c r="D358" s="291"/>
      <c r="E358" s="291"/>
      <c r="F358" s="291"/>
      <c r="G358" s="291"/>
      <c r="H358" s="291"/>
      <c r="I358" s="291"/>
      <c r="J358" s="291"/>
      <c r="K358" s="291"/>
      <c r="L358" s="291"/>
      <c r="M358" s="291"/>
      <c r="N358" s="291"/>
      <c r="O358" s="291"/>
    </row>
    <row r="359" spans="1:15" s="284" customFormat="1" ht="18" customHeight="1" hidden="1">
      <c r="A359" s="291"/>
      <c r="B359" s="291"/>
      <c r="C359" s="291"/>
      <c r="D359" s="291"/>
      <c r="E359" s="291"/>
      <c r="F359" s="291"/>
      <c r="G359" s="291"/>
      <c r="H359" s="291"/>
      <c r="I359" s="291"/>
      <c r="J359" s="291"/>
      <c r="K359" s="291"/>
      <c r="L359" s="291"/>
      <c r="M359" s="291"/>
      <c r="N359" s="291"/>
      <c r="O359" s="291"/>
    </row>
    <row r="360" spans="1:15" s="284" customFormat="1" ht="18" customHeight="1" hidden="1">
      <c r="A360" s="291"/>
      <c r="B360" s="291"/>
      <c r="C360" s="291"/>
      <c r="D360" s="291"/>
      <c r="E360" s="291"/>
      <c r="F360" s="291"/>
      <c r="G360" s="291"/>
      <c r="H360" s="291"/>
      <c r="I360" s="291"/>
      <c r="J360" s="291"/>
      <c r="K360" s="291"/>
      <c r="L360" s="291"/>
      <c r="M360" s="291"/>
      <c r="N360" s="291"/>
      <c r="O360" s="291"/>
    </row>
    <row r="361" spans="1:15" s="284" customFormat="1" ht="18" customHeight="1" hidden="1">
      <c r="A361" s="291"/>
      <c r="B361" s="291"/>
      <c r="C361" s="291"/>
      <c r="D361" s="291"/>
      <c r="E361" s="291"/>
      <c r="F361" s="291"/>
      <c r="G361" s="291"/>
      <c r="H361" s="291"/>
      <c r="I361" s="291"/>
      <c r="J361" s="291"/>
      <c r="K361" s="291"/>
      <c r="L361" s="291"/>
      <c r="M361" s="291"/>
      <c r="N361" s="291"/>
      <c r="O361" s="291"/>
    </row>
    <row r="362" spans="1:15" s="284" customFormat="1" ht="18" customHeight="1" hidden="1">
      <c r="A362" s="291"/>
      <c r="B362" s="291"/>
      <c r="C362" s="291"/>
      <c r="D362" s="291"/>
      <c r="E362" s="291"/>
      <c r="F362" s="291"/>
      <c r="G362" s="291"/>
      <c r="H362" s="291"/>
      <c r="I362" s="291"/>
      <c r="J362" s="291"/>
      <c r="K362" s="291"/>
      <c r="L362" s="291"/>
      <c r="M362" s="291"/>
      <c r="N362" s="291"/>
      <c r="O362" s="291"/>
    </row>
    <row r="363" spans="1:15" s="284" customFormat="1" ht="18" customHeight="1" hidden="1">
      <c r="A363" s="291"/>
      <c r="B363" s="291"/>
      <c r="C363" s="291"/>
      <c r="D363" s="291"/>
      <c r="E363" s="291"/>
      <c r="F363" s="291"/>
      <c r="G363" s="291"/>
      <c r="H363" s="291"/>
      <c r="I363" s="291"/>
      <c r="J363" s="291"/>
      <c r="K363" s="291"/>
      <c r="L363" s="291"/>
      <c r="M363" s="291"/>
      <c r="N363" s="291"/>
      <c r="O363" s="291"/>
    </row>
    <row r="364" spans="1:15" s="284" customFormat="1" ht="18" customHeight="1" hidden="1">
      <c r="A364" s="291"/>
      <c r="B364" s="291"/>
      <c r="C364" s="291"/>
      <c r="D364" s="291"/>
      <c r="E364" s="291"/>
      <c r="F364" s="291"/>
      <c r="G364" s="291"/>
      <c r="H364" s="291"/>
      <c r="I364" s="291"/>
      <c r="J364" s="291"/>
      <c r="K364" s="291"/>
      <c r="L364" s="291"/>
      <c r="M364" s="291"/>
      <c r="N364" s="291"/>
      <c r="O364" s="291"/>
    </row>
    <row r="365" spans="1:15" s="284" customFormat="1" ht="18" customHeight="1" hidden="1">
      <c r="A365" s="291"/>
      <c r="B365" s="291"/>
      <c r="C365" s="291"/>
      <c r="D365" s="291"/>
      <c r="E365" s="291"/>
      <c r="F365" s="291"/>
      <c r="G365" s="291"/>
      <c r="H365" s="291"/>
      <c r="I365" s="291"/>
      <c r="J365" s="291"/>
      <c r="K365" s="291"/>
      <c r="L365" s="291"/>
      <c r="M365" s="291"/>
      <c r="N365" s="291"/>
      <c r="O365" s="291"/>
    </row>
    <row r="366" spans="1:15" s="284" customFormat="1" ht="18" customHeight="1" hidden="1">
      <c r="A366" s="291"/>
      <c r="B366" s="291"/>
      <c r="C366" s="291"/>
      <c r="D366" s="291"/>
      <c r="E366" s="291"/>
      <c r="F366" s="291"/>
      <c r="G366" s="291"/>
      <c r="H366" s="291"/>
      <c r="I366" s="291"/>
      <c r="J366" s="291"/>
      <c r="K366" s="291"/>
      <c r="L366" s="291"/>
      <c r="M366" s="291"/>
      <c r="N366" s="291"/>
      <c r="O366" s="291"/>
    </row>
    <row r="367" spans="1:15" s="284" customFormat="1" ht="18" customHeight="1" hidden="1">
      <c r="A367" s="291"/>
      <c r="B367" s="291"/>
      <c r="C367" s="291"/>
      <c r="D367" s="291"/>
      <c r="E367" s="291"/>
      <c r="F367" s="291"/>
      <c r="G367" s="291"/>
      <c r="H367" s="291"/>
      <c r="I367" s="291"/>
      <c r="J367" s="291"/>
      <c r="K367" s="291"/>
      <c r="L367" s="291"/>
      <c r="M367" s="291"/>
      <c r="N367" s="291"/>
      <c r="O367" s="291"/>
    </row>
    <row r="368" spans="1:15" s="284" customFormat="1" ht="18" customHeight="1" hidden="1">
      <c r="A368" s="291"/>
      <c r="B368" s="291"/>
      <c r="C368" s="291"/>
      <c r="D368" s="291"/>
      <c r="E368" s="291"/>
      <c r="F368" s="291"/>
      <c r="G368" s="291"/>
      <c r="H368" s="291"/>
      <c r="I368" s="291"/>
      <c r="J368" s="291"/>
      <c r="K368" s="291"/>
      <c r="L368" s="291"/>
      <c r="M368" s="291"/>
      <c r="N368" s="291"/>
      <c r="O368" s="291"/>
    </row>
    <row r="369" spans="1:15" s="284" customFormat="1" ht="18" customHeight="1" hidden="1">
      <c r="A369" s="291"/>
      <c r="B369" s="291"/>
      <c r="C369" s="291"/>
      <c r="D369" s="291"/>
      <c r="E369" s="291"/>
      <c r="F369" s="291"/>
      <c r="G369" s="291"/>
      <c r="H369" s="291"/>
      <c r="I369" s="291"/>
      <c r="J369" s="291"/>
      <c r="K369" s="291"/>
      <c r="L369" s="291"/>
      <c r="M369" s="291"/>
      <c r="N369" s="291"/>
      <c r="O369" s="291"/>
    </row>
    <row r="370" spans="1:15" s="284" customFormat="1" ht="18" customHeight="1" hidden="1">
      <c r="A370" s="291"/>
      <c r="B370" s="291"/>
      <c r="C370" s="291"/>
      <c r="D370" s="291"/>
      <c r="E370" s="291"/>
      <c r="F370" s="291"/>
      <c r="G370" s="291"/>
      <c r="H370" s="291"/>
      <c r="I370" s="291"/>
      <c r="J370" s="291"/>
      <c r="K370" s="291"/>
      <c r="L370" s="291"/>
      <c r="M370" s="291"/>
      <c r="N370" s="291"/>
      <c r="O370" s="291"/>
    </row>
    <row r="371" spans="1:15" s="284" customFormat="1" ht="18" customHeight="1" hidden="1">
      <c r="A371" s="291"/>
      <c r="B371" s="291"/>
      <c r="C371" s="291"/>
      <c r="D371" s="291"/>
      <c r="E371" s="291"/>
      <c r="F371" s="291"/>
      <c r="G371" s="291"/>
      <c r="H371" s="291"/>
      <c r="I371" s="291"/>
      <c r="J371" s="291"/>
      <c r="K371" s="291"/>
      <c r="L371" s="291"/>
      <c r="M371" s="291"/>
      <c r="N371" s="291"/>
      <c r="O371" s="291"/>
    </row>
    <row r="372" spans="1:15" s="284" customFormat="1" ht="18" customHeight="1" hidden="1">
      <c r="A372" s="291"/>
      <c r="B372" s="291"/>
      <c r="C372" s="291"/>
      <c r="D372" s="291"/>
      <c r="E372" s="291"/>
      <c r="F372" s="291"/>
      <c r="G372" s="291"/>
      <c r="H372" s="291"/>
      <c r="I372" s="291"/>
      <c r="J372" s="291"/>
      <c r="K372" s="291"/>
      <c r="L372" s="291"/>
      <c r="M372" s="291"/>
      <c r="N372" s="291"/>
      <c r="O372" s="291"/>
    </row>
    <row r="373" spans="1:15" s="284" customFormat="1" ht="18" customHeight="1" hidden="1">
      <c r="A373" s="291"/>
      <c r="B373" s="291"/>
      <c r="C373" s="291"/>
      <c r="D373" s="291"/>
      <c r="E373" s="291"/>
      <c r="F373" s="291"/>
      <c r="G373" s="291"/>
      <c r="H373" s="291"/>
      <c r="I373" s="291"/>
      <c r="J373" s="291"/>
      <c r="K373" s="291"/>
      <c r="L373" s="291"/>
      <c r="M373" s="291"/>
      <c r="N373" s="291"/>
      <c r="O373" s="291"/>
    </row>
    <row r="374" spans="1:15" s="284" customFormat="1" ht="18" customHeight="1" hidden="1">
      <c r="A374" s="291"/>
      <c r="B374" s="291"/>
      <c r="C374" s="291"/>
      <c r="D374" s="291"/>
      <c r="E374" s="291"/>
      <c r="F374" s="291"/>
      <c r="G374" s="291"/>
      <c r="H374" s="291"/>
      <c r="I374" s="291"/>
      <c r="J374" s="291"/>
      <c r="K374" s="291"/>
      <c r="L374" s="291"/>
      <c r="M374" s="291"/>
      <c r="N374" s="291"/>
      <c r="O374" s="291"/>
    </row>
    <row r="375" spans="1:15" s="284" customFormat="1" ht="18" customHeight="1" hidden="1">
      <c r="A375" s="291"/>
      <c r="B375" s="291"/>
      <c r="C375" s="291"/>
      <c r="D375" s="291"/>
      <c r="E375" s="291"/>
      <c r="F375" s="291"/>
      <c r="G375" s="291"/>
      <c r="H375" s="291"/>
      <c r="I375" s="291"/>
      <c r="J375" s="291"/>
      <c r="K375" s="291"/>
      <c r="L375" s="291"/>
      <c r="M375" s="291"/>
      <c r="N375" s="291"/>
      <c r="O375" s="291"/>
    </row>
    <row r="376" spans="1:15" s="284" customFormat="1" ht="18" customHeight="1" hidden="1">
      <c r="A376" s="291"/>
      <c r="B376" s="291"/>
      <c r="C376" s="291"/>
      <c r="D376" s="291"/>
      <c r="E376" s="291"/>
      <c r="F376" s="291"/>
      <c r="G376" s="291"/>
      <c r="H376" s="291"/>
      <c r="I376" s="291"/>
      <c r="J376" s="291"/>
      <c r="K376" s="291"/>
      <c r="L376" s="291"/>
      <c r="M376" s="291"/>
      <c r="N376" s="291"/>
      <c r="O376" s="291"/>
    </row>
    <row r="377" spans="1:15" s="284" customFormat="1" ht="18" customHeight="1" hidden="1">
      <c r="A377" s="291"/>
      <c r="B377" s="291"/>
      <c r="C377" s="291"/>
      <c r="D377" s="291"/>
      <c r="E377" s="291"/>
      <c r="F377" s="291"/>
      <c r="G377" s="291"/>
      <c r="H377" s="291"/>
      <c r="I377" s="291"/>
      <c r="J377" s="291"/>
      <c r="K377" s="291"/>
      <c r="L377" s="291"/>
      <c r="M377" s="291"/>
      <c r="N377" s="291"/>
      <c r="O377" s="291"/>
    </row>
    <row r="378" spans="1:15" s="284" customFormat="1" ht="18" customHeight="1" hidden="1">
      <c r="A378" s="291"/>
      <c r="B378" s="291"/>
      <c r="C378" s="291"/>
      <c r="D378" s="291"/>
      <c r="E378" s="291"/>
      <c r="F378" s="291"/>
      <c r="G378" s="291"/>
      <c r="H378" s="291"/>
      <c r="I378" s="291"/>
      <c r="J378" s="291"/>
      <c r="K378" s="291"/>
      <c r="L378" s="291"/>
      <c r="M378" s="291"/>
      <c r="N378" s="291"/>
      <c r="O378" s="291"/>
    </row>
    <row r="379" spans="1:15" s="284" customFormat="1" ht="18" customHeight="1" hidden="1">
      <c r="A379" s="291"/>
      <c r="B379" s="291"/>
      <c r="C379" s="291"/>
      <c r="D379" s="291"/>
      <c r="E379" s="291"/>
      <c r="F379" s="291"/>
      <c r="G379" s="291"/>
      <c r="H379" s="291"/>
      <c r="I379" s="291"/>
      <c r="J379" s="291"/>
      <c r="K379" s="291"/>
      <c r="L379" s="291"/>
      <c r="M379" s="291"/>
      <c r="N379" s="291"/>
      <c r="O379" s="291"/>
    </row>
    <row r="380" spans="1:15" s="284" customFormat="1" ht="18" customHeight="1" hidden="1">
      <c r="A380" s="291"/>
      <c r="B380" s="291"/>
      <c r="C380" s="291"/>
      <c r="D380" s="291"/>
      <c r="E380" s="291"/>
      <c r="F380" s="291"/>
      <c r="G380" s="291"/>
      <c r="H380" s="291"/>
      <c r="I380" s="291"/>
      <c r="J380" s="291"/>
      <c r="K380" s="291"/>
      <c r="L380" s="291"/>
      <c r="M380" s="291"/>
      <c r="N380" s="291"/>
      <c r="O380" s="291"/>
    </row>
    <row r="381" spans="1:15" s="284" customFormat="1" ht="18" customHeight="1" hidden="1">
      <c r="A381" s="291"/>
      <c r="B381" s="291"/>
      <c r="C381" s="291"/>
      <c r="D381" s="291"/>
      <c r="E381" s="291"/>
      <c r="F381" s="291"/>
      <c r="G381" s="291"/>
      <c r="H381" s="291"/>
      <c r="I381" s="291"/>
      <c r="J381" s="291"/>
      <c r="K381" s="291"/>
      <c r="L381" s="291"/>
      <c r="M381" s="291"/>
      <c r="N381" s="291"/>
      <c r="O381" s="291"/>
    </row>
    <row r="382" spans="1:15" s="284" customFormat="1" ht="18" customHeight="1" hidden="1">
      <c r="A382" s="291"/>
      <c r="B382" s="291"/>
      <c r="C382" s="291"/>
      <c r="D382" s="291"/>
      <c r="E382" s="291"/>
      <c r="F382" s="291"/>
      <c r="G382" s="291"/>
      <c r="H382" s="291"/>
      <c r="I382" s="291"/>
      <c r="J382" s="291"/>
      <c r="K382" s="291"/>
      <c r="L382" s="291"/>
      <c r="M382" s="291"/>
      <c r="N382" s="291"/>
      <c r="O382" s="291"/>
    </row>
    <row r="383" spans="1:15" s="284" customFormat="1" ht="18" customHeight="1" hidden="1">
      <c r="A383" s="291"/>
      <c r="B383" s="291"/>
      <c r="C383" s="291"/>
      <c r="D383" s="291"/>
      <c r="E383" s="291"/>
      <c r="F383" s="291"/>
      <c r="G383" s="291"/>
      <c r="H383" s="291"/>
      <c r="I383" s="291"/>
      <c r="J383" s="291"/>
      <c r="K383" s="291"/>
      <c r="L383" s="291"/>
      <c r="M383" s="291"/>
      <c r="N383" s="291"/>
      <c r="O383" s="291"/>
    </row>
    <row r="384" spans="1:15" s="284" customFormat="1" ht="18" customHeight="1" hidden="1">
      <c r="A384" s="291"/>
      <c r="B384" s="291"/>
      <c r="C384" s="291"/>
      <c r="D384" s="291"/>
      <c r="E384" s="291"/>
      <c r="F384" s="291"/>
      <c r="G384" s="291"/>
      <c r="H384" s="291"/>
      <c r="I384" s="291"/>
      <c r="J384" s="291"/>
      <c r="K384" s="291"/>
      <c r="L384" s="291"/>
      <c r="M384" s="291"/>
      <c r="N384" s="291"/>
      <c r="O384" s="291"/>
    </row>
    <row r="385" spans="1:15" s="284" customFormat="1" ht="18" customHeight="1" hidden="1">
      <c r="A385" s="291"/>
      <c r="B385" s="291"/>
      <c r="C385" s="291"/>
      <c r="D385" s="291"/>
      <c r="E385" s="291"/>
      <c r="F385" s="291"/>
      <c r="G385" s="291"/>
      <c r="H385" s="291"/>
      <c r="I385" s="291"/>
      <c r="J385" s="291"/>
      <c r="K385" s="291"/>
      <c r="L385" s="291"/>
      <c r="M385" s="291"/>
      <c r="N385" s="291"/>
      <c r="O385" s="291"/>
    </row>
    <row r="386" spans="1:15" s="284" customFormat="1" ht="18" customHeight="1" hidden="1">
      <c r="A386" s="291"/>
      <c r="B386" s="291"/>
      <c r="C386" s="291"/>
      <c r="D386" s="291"/>
      <c r="E386" s="291"/>
      <c r="F386" s="291"/>
      <c r="G386" s="291"/>
      <c r="H386" s="291"/>
      <c r="I386" s="291"/>
      <c r="J386" s="291"/>
      <c r="K386" s="291"/>
      <c r="L386" s="291"/>
      <c r="M386" s="291"/>
      <c r="N386" s="291"/>
      <c r="O386" s="291"/>
    </row>
    <row r="387" spans="1:15" s="284" customFormat="1" ht="18" customHeight="1" hidden="1">
      <c r="A387" s="291"/>
      <c r="B387" s="291"/>
      <c r="C387" s="291"/>
      <c r="D387" s="291"/>
      <c r="E387" s="291"/>
      <c r="F387" s="291"/>
      <c r="G387" s="291"/>
      <c r="H387" s="291"/>
      <c r="I387" s="291"/>
      <c r="J387" s="291"/>
      <c r="K387" s="291"/>
      <c r="L387" s="291"/>
      <c r="M387" s="291"/>
      <c r="N387" s="291"/>
      <c r="O387" s="291"/>
    </row>
    <row r="388" spans="1:15" s="284" customFormat="1" ht="18" customHeight="1" hidden="1">
      <c r="A388" s="291"/>
      <c r="B388" s="291"/>
      <c r="C388" s="291"/>
      <c r="D388" s="291"/>
      <c r="E388" s="291"/>
      <c r="F388" s="291"/>
      <c r="G388" s="291"/>
      <c r="H388" s="291"/>
      <c r="I388" s="291"/>
      <c r="J388" s="291"/>
      <c r="K388" s="291"/>
      <c r="L388" s="291"/>
      <c r="M388" s="291"/>
      <c r="N388" s="291"/>
      <c r="O388" s="291"/>
    </row>
    <row r="389" spans="1:15" s="284" customFormat="1" ht="18" customHeight="1" hidden="1">
      <c r="A389" s="291"/>
      <c r="B389" s="291"/>
      <c r="C389" s="291"/>
      <c r="D389" s="291"/>
      <c r="E389" s="291"/>
      <c r="F389" s="291"/>
      <c r="G389" s="291"/>
      <c r="H389" s="291"/>
      <c r="I389" s="291"/>
      <c r="J389" s="291"/>
      <c r="K389" s="291"/>
      <c r="L389" s="291"/>
      <c r="M389" s="291"/>
      <c r="N389" s="291"/>
      <c r="O389" s="291"/>
    </row>
    <row r="390" spans="1:15" s="284" customFormat="1" ht="18" customHeight="1" hidden="1">
      <c r="A390" s="291"/>
      <c r="B390" s="291"/>
      <c r="C390" s="291"/>
      <c r="D390" s="291"/>
      <c r="E390" s="291"/>
      <c r="F390" s="291"/>
      <c r="G390" s="291"/>
      <c r="H390" s="291"/>
      <c r="I390" s="291"/>
      <c r="J390" s="291"/>
      <c r="K390" s="291"/>
      <c r="L390" s="291"/>
      <c r="M390" s="291"/>
      <c r="N390" s="291"/>
      <c r="O390" s="291"/>
    </row>
    <row r="391" spans="1:15" s="284" customFormat="1" ht="18" customHeight="1" hidden="1">
      <c r="A391" s="291"/>
      <c r="B391" s="291"/>
      <c r="C391" s="291"/>
      <c r="D391" s="291"/>
      <c r="E391" s="291"/>
      <c r="F391" s="291"/>
      <c r="G391" s="291"/>
      <c r="H391" s="291"/>
      <c r="I391" s="291"/>
      <c r="J391" s="291"/>
      <c r="K391" s="291"/>
      <c r="L391" s="291"/>
      <c r="M391" s="291"/>
      <c r="N391" s="291"/>
      <c r="O391" s="291"/>
    </row>
    <row r="392" spans="1:15" s="284" customFormat="1" ht="18" customHeight="1" hidden="1">
      <c r="A392" s="291"/>
      <c r="B392" s="291"/>
      <c r="C392" s="291"/>
      <c r="D392" s="291"/>
      <c r="E392" s="291"/>
      <c r="F392" s="291"/>
      <c r="G392" s="291"/>
      <c r="H392" s="291"/>
      <c r="I392" s="291"/>
      <c r="J392" s="291"/>
      <c r="K392" s="291"/>
      <c r="L392" s="291"/>
      <c r="M392" s="291"/>
      <c r="N392" s="291"/>
      <c r="O392" s="291"/>
    </row>
    <row r="393" spans="1:15" s="284" customFormat="1" ht="18" customHeight="1" hidden="1">
      <c r="A393" s="291"/>
      <c r="B393" s="291"/>
      <c r="C393" s="291"/>
      <c r="D393" s="291"/>
      <c r="E393" s="291"/>
      <c r="F393" s="291"/>
      <c r="G393" s="291"/>
      <c r="H393" s="291"/>
      <c r="I393" s="291"/>
      <c r="J393" s="291"/>
      <c r="K393" s="291"/>
      <c r="L393" s="291"/>
      <c r="M393" s="291"/>
      <c r="N393" s="291"/>
      <c r="O393" s="291"/>
    </row>
    <row r="394" spans="1:15" s="284" customFormat="1" ht="18" customHeight="1" hidden="1">
      <c r="A394" s="291"/>
      <c r="B394" s="291"/>
      <c r="C394" s="291"/>
      <c r="D394" s="291"/>
      <c r="E394" s="291"/>
      <c r="F394" s="291"/>
      <c r="G394" s="291"/>
      <c r="H394" s="291"/>
      <c r="I394" s="291"/>
      <c r="J394" s="291"/>
      <c r="K394" s="291"/>
      <c r="L394" s="291"/>
      <c r="M394" s="291"/>
      <c r="N394" s="291"/>
      <c r="O394" s="291"/>
    </row>
    <row r="395" spans="1:15" s="284" customFormat="1" ht="18" customHeight="1" hidden="1">
      <c r="A395" s="291"/>
      <c r="B395" s="291"/>
      <c r="C395" s="291"/>
      <c r="D395" s="291"/>
      <c r="E395" s="291"/>
      <c r="F395" s="291"/>
      <c r="G395" s="291"/>
      <c r="H395" s="291"/>
      <c r="I395" s="291"/>
      <c r="J395" s="291"/>
      <c r="K395" s="291"/>
      <c r="L395" s="291"/>
      <c r="M395" s="291"/>
      <c r="N395" s="291"/>
      <c r="O395" s="291"/>
    </row>
    <row r="396" spans="1:15" s="284" customFormat="1" ht="18" customHeight="1" hidden="1">
      <c r="A396" s="291"/>
      <c r="B396" s="291"/>
      <c r="C396" s="291"/>
      <c r="D396" s="291"/>
      <c r="E396" s="291"/>
      <c r="F396" s="291"/>
      <c r="G396" s="291"/>
      <c r="H396" s="291"/>
      <c r="I396" s="291"/>
      <c r="J396" s="291"/>
      <c r="K396" s="291"/>
      <c r="L396" s="291"/>
      <c r="M396" s="291"/>
      <c r="N396" s="291"/>
      <c r="O396" s="291"/>
    </row>
    <row r="397" spans="1:15" s="284" customFormat="1" ht="18" customHeight="1" hidden="1">
      <c r="A397" s="291"/>
      <c r="B397" s="291"/>
      <c r="C397" s="291"/>
      <c r="D397" s="291"/>
      <c r="E397" s="291"/>
      <c r="F397" s="291"/>
      <c r="G397" s="291"/>
      <c r="H397" s="291"/>
      <c r="I397" s="291"/>
      <c r="J397" s="291"/>
      <c r="K397" s="291"/>
      <c r="L397" s="291"/>
      <c r="M397" s="291"/>
      <c r="N397" s="291"/>
      <c r="O397" s="291"/>
    </row>
    <row r="398" spans="1:15" s="284" customFormat="1" ht="18" customHeight="1" hidden="1">
      <c r="A398" s="291"/>
      <c r="B398" s="291"/>
      <c r="C398" s="291"/>
      <c r="D398" s="291"/>
      <c r="E398" s="291"/>
      <c r="F398" s="291"/>
      <c r="G398" s="291"/>
      <c r="H398" s="291"/>
      <c r="I398" s="291"/>
      <c r="J398" s="291"/>
      <c r="K398" s="291"/>
      <c r="L398" s="291"/>
      <c r="M398" s="291"/>
      <c r="N398" s="291"/>
      <c r="O398" s="291"/>
    </row>
    <row r="399" spans="1:15" s="284" customFormat="1" ht="18" customHeight="1" hidden="1">
      <c r="A399" s="291"/>
      <c r="B399" s="291"/>
      <c r="C399" s="291"/>
      <c r="D399" s="291"/>
      <c r="E399" s="291"/>
      <c r="F399" s="291"/>
      <c r="G399" s="291"/>
      <c r="H399" s="291"/>
      <c r="I399" s="291"/>
      <c r="J399" s="291"/>
      <c r="K399" s="291"/>
      <c r="L399" s="291"/>
      <c r="M399" s="291"/>
      <c r="N399" s="291"/>
      <c r="O399" s="291"/>
    </row>
    <row r="400" spans="1:15" s="284" customFormat="1" ht="18" customHeight="1" hidden="1">
      <c r="A400" s="291"/>
      <c r="B400" s="291"/>
      <c r="C400" s="291"/>
      <c r="D400" s="291"/>
      <c r="E400" s="291"/>
      <c r="F400" s="291"/>
      <c r="G400" s="291"/>
      <c r="H400" s="291"/>
      <c r="I400" s="291"/>
      <c r="J400" s="291"/>
      <c r="K400" s="291"/>
      <c r="L400" s="291"/>
      <c r="M400" s="291"/>
      <c r="N400" s="291"/>
      <c r="O400" s="291"/>
    </row>
    <row r="401" spans="1:15" s="284" customFormat="1" ht="18" customHeight="1" hidden="1">
      <c r="A401" s="291"/>
      <c r="B401" s="291"/>
      <c r="C401" s="291"/>
      <c r="D401" s="291"/>
      <c r="E401" s="291"/>
      <c r="F401" s="291"/>
      <c r="G401" s="291"/>
      <c r="H401" s="291"/>
      <c r="I401" s="291"/>
      <c r="J401" s="291"/>
      <c r="K401" s="291"/>
      <c r="L401" s="291"/>
      <c r="M401" s="291"/>
      <c r="N401" s="291"/>
      <c r="O401" s="291"/>
    </row>
    <row r="402" spans="1:15" s="284" customFormat="1" ht="18" customHeight="1" hidden="1">
      <c r="A402" s="291"/>
      <c r="B402" s="291"/>
      <c r="C402" s="291"/>
      <c r="D402" s="291"/>
      <c r="E402" s="291"/>
      <c r="F402" s="291"/>
      <c r="G402" s="291"/>
      <c r="H402" s="291"/>
      <c r="I402" s="291"/>
      <c r="J402" s="291"/>
      <c r="K402" s="291"/>
      <c r="L402" s="291"/>
      <c r="M402" s="291"/>
      <c r="N402" s="291"/>
      <c r="O402" s="291"/>
    </row>
    <row r="403" spans="1:15" s="284" customFormat="1" ht="18" customHeight="1" hidden="1">
      <c r="A403" s="291"/>
      <c r="B403" s="291"/>
      <c r="C403" s="291"/>
      <c r="D403" s="291"/>
      <c r="E403" s="291"/>
      <c r="F403" s="291"/>
      <c r="G403" s="291"/>
      <c r="H403" s="291"/>
      <c r="I403" s="291"/>
      <c r="J403" s="291"/>
      <c r="K403" s="291"/>
      <c r="L403" s="291"/>
      <c r="M403" s="291"/>
      <c r="N403" s="291"/>
      <c r="O403" s="291"/>
    </row>
    <row r="404" spans="1:15" s="284" customFormat="1" ht="18" customHeight="1" hidden="1">
      <c r="A404" s="291"/>
      <c r="B404" s="291"/>
      <c r="C404" s="291"/>
      <c r="D404" s="291"/>
      <c r="E404" s="291"/>
      <c r="F404" s="291"/>
      <c r="G404" s="291"/>
      <c r="H404" s="291"/>
      <c r="I404" s="291"/>
      <c r="J404" s="291"/>
      <c r="K404" s="291"/>
      <c r="L404" s="291"/>
      <c r="M404" s="291"/>
      <c r="N404" s="291"/>
      <c r="O404" s="291"/>
    </row>
    <row r="405" spans="1:15" s="284" customFormat="1" ht="18" customHeight="1" hidden="1">
      <c r="A405" s="291"/>
      <c r="B405" s="291"/>
      <c r="C405" s="291"/>
      <c r="D405" s="291"/>
      <c r="E405" s="291"/>
      <c r="F405" s="291"/>
      <c r="G405" s="291"/>
      <c r="H405" s="291"/>
      <c r="I405" s="291"/>
      <c r="J405" s="291"/>
      <c r="K405" s="291"/>
      <c r="L405" s="291"/>
      <c r="M405" s="291"/>
      <c r="N405" s="291"/>
      <c r="O405" s="291"/>
    </row>
    <row r="406" spans="1:15" s="284" customFormat="1" ht="18" customHeight="1" hidden="1">
      <c r="A406" s="291"/>
      <c r="B406" s="291"/>
      <c r="C406" s="291"/>
      <c r="D406" s="291"/>
      <c r="E406" s="291"/>
      <c r="F406" s="291"/>
      <c r="G406" s="291"/>
      <c r="H406" s="291"/>
      <c r="I406" s="291"/>
      <c r="J406" s="291"/>
      <c r="K406" s="291"/>
      <c r="L406" s="291"/>
      <c r="M406" s="291"/>
      <c r="N406" s="291"/>
      <c r="O406" s="291"/>
    </row>
    <row r="407" spans="1:15" s="284" customFormat="1" ht="18" customHeight="1" hidden="1">
      <c r="A407" s="291"/>
      <c r="B407" s="291"/>
      <c r="C407" s="291"/>
      <c r="D407" s="291"/>
      <c r="E407" s="291"/>
      <c r="F407" s="291"/>
      <c r="G407" s="291"/>
      <c r="H407" s="291"/>
      <c r="I407" s="291"/>
      <c r="J407" s="291"/>
      <c r="K407" s="291"/>
      <c r="L407" s="291"/>
      <c r="M407" s="291"/>
      <c r="N407" s="291"/>
      <c r="O407" s="291"/>
    </row>
    <row r="408" spans="1:15" s="284" customFormat="1" ht="18" customHeight="1" hidden="1">
      <c r="A408" s="291"/>
      <c r="B408" s="291"/>
      <c r="C408" s="291"/>
      <c r="D408" s="291"/>
      <c r="E408" s="291"/>
      <c r="F408" s="291"/>
      <c r="G408" s="291"/>
      <c r="H408" s="291"/>
      <c r="I408" s="291"/>
      <c r="J408" s="291"/>
      <c r="K408" s="291"/>
      <c r="L408" s="291"/>
      <c r="M408" s="291"/>
      <c r="N408" s="291"/>
      <c r="O408" s="291"/>
    </row>
    <row r="409" spans="1:15" s="284" customFormat="1" ht="18" customHeight="1" hidden="1">
      <c r="A409" s="291"/>
      <c r="B409" s="291"/>
      <c r="C409" s="291"/>
      <c r="D409" s="291"/>
      <c r="E409" s="291"/>
      <c r="F409" s="291"/>
      <c r="G409" s="291"/>
      <c r="H409" s="291"/>
      <c r="I409" s="291"/>
      <c r="J409" s="291"/>
      <c r="K409" s="291"/>
      <c r="L409" s="291"/>
      <c r="M409" s="291"/>
      <c r="N409" s="291"/>
      <c r="O409" s="291"/>
    </row>
    <row r="410" spans="1:15" s="284" customFormat="1" ht="18" customHeight="1" hidden="1">
      <c r="A410" s="291"/>
      <c r="B410" s="291"/>
      <c r="C410" s="291"/>
      <c r="D410" s="291"/>
      <c r="E410" s="291"/>
      <c r="F410" s="291"/>
      <c r="G410" s="291"/>
      <c r="H410" s="291"/>
      <c r="I410" s="291"/>
      <c r="J410" s="291"/>
      <c r="K410" s="291"/>
      <c r="L410" s="291"/>
      <c r="M410" s="291"/>
      <c r="N410" s="291"/>
      <c r="O410" s="291"/>
    </row>
    <row r="411" spans="1:15" s="284" customFormat="1" ht="18" customHeight="1" hidden="1">
      <c r="A411" s="291"/>
      <c r="B411" s="291"/>
      <c r="C411" s="291"/>
      <c r="D411" s="291"/>
      <c r="E411" s="291"/>
      <c r="F411" s="291"/>
      <c r="G411" s="291"/>
      <c r="H411" s="291"/>
      <c r="I411" s="291"/>
      <c r="J411" s="291"/>
      <c r="K411" s="291"/>
      <c r="L411" s="291"/>
      <c r="M411" s="291"/>
      <c r="N411" s="291"/>
      <c r="O411" s="291"/>
    </row>
    <row r="412" spans="1:15" s="284" customFormat="1" ht="18" customHeight="1" hidden="1">
      <c r="A412" s="291"/>
      <c r="B412" s="291"/>
      <c r="C412" s="291"/>
      <c r="D412" s="291"/>
      <c r="E412" s="291"/>
      <c r="F412" s="291"/>
      <c r="G412" s="291"/>
      <c r="H412" s="291"/>
      <c r="I412" s="291"/>
      <c r="J412" s="291"/>
      <c r="K412" s="291"/>
      <c r="L412" s="291"/>
      <c r="M412" s="291"/>
      <c r="N412" s="291"/>
      <c r="O412" s="291"/>
    </row>
    <row r="413" spans="1:15" s="284" customFormat="1" ht="18" customHeight="1" hidden="1">
      <c r="A413" s="291"/>
      <c r="B413" s="291"/>
      <c r="C413" s="291"/>
      <c r="D413" s="291"/>
      <c r="E413" s="291"/>
      <c r="F413" s="291"/>
      <c r="G413" s="291"/>
      <c r="H413" s="291"/>
      <c r="I413" s="291"/>
      <c r="J413" s="291"/>
      <c r="K413" s="291"/>
      <c r="L413" s="291"/>
      <c r="M413" s="291"/>
      <c r="N413" s="291"/>
      <c r="O413" s="291"/>
    </row>
    <row r="414" spans="1:15" s="284" customFormat="1" ht="18" customHeight="1" hidden="1">
      <c r="A414" s="291"/>
      <c r="B414" s="291"/>
      <c r="C414" s="291"/>
      <c r="D414" s="291"/>
      <c r="E414" s="291"/>
      <c r="F414" s="291"/>
      <c r="G414" s="291"/>
      <c r="H414" s="291"/>
      <c r="I414" s="291"/>
      <c r="J414" s="291"/>
      <c r="K414" s="291"/>
      <c r="L414" s="291"/>
      <c r="M414" s="291"/>
      <c r="N414" s="291"/>
      <c r="O414" s="291"/>
    </row>
    <row r="415" spans="1:15" s="284" customFormat="1" ht="18" customHeight="1" hidden="1">
      <c r="A415" s="291"/>
      <c r="B415" s="291"/>
      <c r="C415" s="291"/>
      <c r="D415" s="291"/>
      <c r="E415" s="291"/>
      <c r="F415" s="291"/>
      <c r="G415" s="291"/>
      <c r="H415" s="291"/>
      <c r="I415" s="291"/>
      <c r="J415" s="291"/>
      <c r="K415" s="291"/>
      <c r="L415" s="291"/>
      <c r="M415" s="291"/>
      <c r="N415" s="291"/>
      <c r="O415" s="291"/>
    </row>
    <row r="416" spans="1:15" s="284" customFormat="1" ht="18" customHeight="1" hidden="1">
      <c r="A416" s="291"/>
      <c r="B416" s="291"/>
      <c r="C416" s="291"/>
      <c r="D416" s="291"/>
      <c r="E416" s="291"/>
      <c r="F416" s="291"/>
      <c r="G416" s="291"/>
      <c r="H416" s="291"/>
      <c r="I416" s="291"/>
      <c r="J416" s="291"/>
      <c r="K416" s="291"/>
      <c r="L416" s="291"/>
      <c r="M416" s="291"/>
      <c r="N416" s="291"/>
      <c r="O416" s="291"/>
    </row>
    <row r="417" spans="1:15" s="284" customFormat="1" ht="18" customHeight="1" hidden="1">
      <c r="A417" s="291"/>
      <c r="B417" s="291"/>
      <c r="C417" s="291"/>
      <c r="D417" s="291"/>
      <c r="E417" s="291"/>
      <c r="F417" s="291"/>
      <c r="G417" s="291"/>
      <c r="H417" s="291"/>
      <c r="I417" s="291"/>
      <c r="J417" s="291"/>
      <c r="K417" s="291"/>
      <c r="L417" s="291"/>
      <c r="M417" s="291"/>
      <c r="N417" s="291"/>
      <c r="O417" s="291"/>
    </row>
    <row r="418" spans="1:15" s="284" customFormat="1" ht="18" customHeight="1" hidden="1">
      <c r="A418" s="291"/>
      <c r="B418" s="291"/>
      <c r="C418" s="291"/>
      <c r="D418" s="291"/>
      <c r="E418" s="291"/>
      <c r="F418" s="291"/>
      <c r="G418" s="291"/>
      <c r="H418" s="291"/>
      <c r="I418" s="291"/>
      <c r="J418" s="291"/>
      <c r="K418" s="291"/>
      <c r="L418" s="291"/>
      <c r="M418" s="291"/>
      <c r="N418" s="291"/>
      <c r="O418" s="291"/>
    </row>
    <row r="419" spans="1:15" s="284" customFormat="1" ht="18" customHeight="1" hidden="1">
      <c r="A419" s="291"/>
      <c r="B419" s="291"/>
      <c r="C419" s="291"/>
      <c r="D419" s="291"/>
      <c r="E419" s="291"/>
      <c r="F419" s="291"/>
      <c r="G419" s="291"/>
      <c r="H419" s="291"/>
      <c r="I419" s="291"/>
      <c r="J419" s="291"/>
      <c r="K419" s="291"/>
      <c r="L419" s="291"/>
      <c r="M419" s="291"/>
      <c r="N419" s="291"/>
      <c r="O419" s="291"/>
    </row>
    <row r="420" spans="1:15" s="284" customFormat="1" ht="18" customHeight="1" hidden="1">
      <c r="A420" s="291"/>
      <c r="B420" s="291"/>
      <c r="C420" s="291"/>
      <c r="D420" s="291"/>
      <c r="E420" s="291"/>
      <c r="F420" s="291"/>
      <c r="G420" s="291"/>
      <c r="H420" s="291"/>
      <c r="I420" s="291"/>
      <c r="J420" s="291"/>
      <c r="K420" s="291"/>
      <c r="L420" s="291"/>
      <c r="M420" s="291"/>
      <c r="N420" s="291"/>
      <c r="O420" s="291"/>
    </row>
    <row r="421" spans="1:15" s="284" customFormat="1" ht="18" customHeight="1" hidden="1">
      <c r="A421" s="291"/>
      <c r="B421" s="291"/>
      <c r="C421" s="291"/>
      <c r="D421" s="291"/>
      <c r="E421" s="291"/>
      <c r="F421" s="291"/>
      <c r="G421" s="291"/>
      <c r="H421" s="291"/>
      <c r="I421" s="291"/>
      <c r="J421" s="291"/>
      <c r="K421" s="291"/>
      <c r="L421" s="291"/>
      <c r="M421" s="291"/>
      <c r="N421" s="291"/>
      <c r="O421" s="291"/>
    </row>
    <row r="422" spans="1:15" s="284" customFormat="1" ht="18" customHeight="1" hidden="1">
      <c r="A422" s="291"/>
      <c r="B422" s="291"/>
      <c r="C422" s="291"/>
      <c r="D422" s="291"/>
      <c r="E422" s="291"/>
      <c r="F422" s="291"/>
      <c r="G422" s="291"/>
      <c r="H422" s="291"/>
      <c r="I422" s="291"/>
      <c r="J422" s="291"/>
      <c r="K422" s="291"/>
      <c r="L422" s="291"/>
      <c r="M422" s="291"/>
      <c r="N422" s="291"/>
      <c r="O422" s="291"/>
    </row>
    <row r="423" spans="1:15" s="284" customFormat="1" ht="18" customHeight="1" hidden="1">
      <c r="A423" s="291"/>
      <c r="B423" s="291"/>
      <c r="C423" s="291"/>
      <c r="D423" s="291"/>
      <c r="E423" s="291"/>
      <c r="F423" s="291"/>
      <c r="G423" s="291"/>
      <c r="H423" s="291"/>
      <c r="I423" s="291"/>
      <c r="J423" s="291"/>
      <c r="K423" s="291"/>
      <c r="L423" s="291"/>
      <c r="M423" s="291"/>
      <c r="N423" s="291"/>
      <c r="O423" s="291"/>
    </row>
    <row r="424" spans="1:15" s="284" customFormat="1" ht="18" customHeight="1" hidden="1">
      <c r="A424" s="291"/>
      <c r="B424" s="291"/>
      <c r="C424" s="291"/>
      <c r="D424" s="291"/>
      <c r="E424" s="291"/>
      <c r="F424" s="291"/>
      <c r="G424" s="291"/>
      <c r="H424" s="291"/>
      <c r="I424" s="291"/>
      <c r="J424" s="291"/>
      <c r="K424" s="291"/>
      <c r="L424" s="291"/>
      <c r="M424" s="291"/>
      <c r="N424" s="291"/>
      <c r="O424" s="291"/>
    </row>
    <row r="425" spans="1:15" s="284" customFormat="1" ht="18" customHeight="1" hidden="1">
      <c r="A425" s="291"/>
      <c r="B425" s="291"/>
      <c r="C425" s="291"/>
      <c r="D425" s="291"/>
      <c r="E425" s="291"/>
      <c r="F425" s="291"/>
      <c r="G425" s="291"/>
      <c r="H425" s="291"/>
      <c r="I425" s="291"/>
      <c r="J425" s="291"/>
      <c r="K425" s="291"/>
      <c r="L425" s="291"/>
      <c r="M425" s="291"/>
      <c r="N425" s="291"/>
      <c r="O425" s="291"/>
    </row>
    <row r="426" spans="1:15" s="284" customFormat="1" ht="18" customHeight="1" hidden="1">
      <c r="A426" s="291"/>
      <c r="B426" s="291"/>
      <c r="C426" s="291"/>
      <c r="D426" s="291"/>
      <c r="E426" s="291"/>
      <c r="F426" s="291"/>
      <c r="G426" s="291"/>
      <c r="H426" s="291"/>
      <c r="I426" s="291"/>
      <c r="J426" s="291"/>
      <c r="K426" s="291"/>
      <c r="L426" s="291"/>
      <c r="M426" s="291"/>
      <c r="N426" s="291"/>
      <c r="O426" s="291"/>
    </row>
    <row r="427" spans="1:15" s="284" customFormat="1" ht="18" customHeight="1" hidden="1">
      <c r="A427" s="291"/>
      <c r="B427" s="291"/>
      <c r="C427" s="291"/>
      <c r="D427" s="291"/>
      <c r="E427" s="291"/>
      <c r="F427" s="291"/>
      <c r="G427" s="291"/>
      <c r="H427" s="291"/>
      <c r="I427" s="291"/>
      <c r="J427" s="291"/>
      <c r="K427" s="291"/>
      <c r="L427" s="291"/>
      <c r="M427" s="291"/>
      <c r="N427" s="291"/>
      <c r="O427" s="291"/>
    </row>
    <row r="428" spans="1:15" s="284" customFormat="1" ht="18" customHeight="1" hidden="1">
      <c r="A428" s="291"/>
      <c r="B428" s="291"/>
      <c r="C428" s="291"/>
      <c r="D428" s="291"/>
      <c r="E428" s="291"/>
      <c r="F428" s="291"/>
      <c r="G428" s="291"/>
      <c r="H428" s="291"/>
      <c r="I428" s="291"/>
      <c r="J428" s="291"/>
      <c r="K428" s="291"/>
      <c r="L428" s="291"/>
      <c r="M428" s="291"/>
      <c r="N428" s="291"/>
      <c r="O428" s="291"/>
    </row>
    <row r="429" spans="1:15" s="284" customFormat="1" ht="18" customHeight="1" hidden="1">
      <c r="A429" s="291"/>
      <c r="B429" s="291"/>
      <c r="C429" s="291"/>
      <c r="D429" s="291"/>
      <c r="E429" s="291"/>
      <c r="F429" s="291"/>
      <c r="G429" s="291"/>
      <c r="H429" s="291"/>
      <c r="I429" s="291"/>
      <c r="J429" s="291"/>
      <c r="K429" s="291"/>
      <c r="L429" s="291"/>
      <c r="M429" s="291"/>
      <c r="N429" s="291"/>
      <c r="O429" s="291"/>
    </row>
    <row r="430" spans="1:15" s="284" customFormat="1" ht="18" customHeight="1" hidden="1">
      <c r="A430" s="291"/>
      <c r="B430" s="291"/>
      <c r="C430" s="291"/>
      <c r="D430" s="291"/>
      <c r="E430" s="291"/>
      <c r="F430" s="291"/>
      <c r="G430" s="291"/>
      <c r="H430" s="291"/>
      <c r="I430" s="291"/>
      <c r="J430" s="291"/>
      <c r="K430" s="291"/>
      <c r="L430" s="291"/>
      <c r="M430" s="291"/>
      <c r="N430" s="291"/>
      <c r="O430" s="291"/>
    </row>
    <row r="431" spans="1:15" s="284" customFormat="1" ht="18" customHeight="1" hidden="1">
      <c r="A431" s="291"/>
      <c r="B431" s="291"/>
      <c r="C431" s="291"/>
      <c r="D431" s="291"/>
      <c r="E431" s="291"/>
      <c r="F431" s="291"/>
      <c r="G431" s="291"/>
      <c r="H431" s="291"/>
      <c r="I431" s="291"/>
      <c r="J431" s="291"/>
      <c r="K431" s="291"/>
      <c r="L431" s="291"/>
      <c r="M431" s="291"/>
      <c r="N431" s="291"/>
      <c r="O431" s="291"/>
    </row>
    <row r="432" spans="1:15" s="284" customFormat="1" ht="18" customHeight="1" hidden="1">
      <c r="A432" s="291"/>
      <c r="B432" s="291"/>
      <c r="C432" s="291"/>
      <c r="D432" s="291"/>
      <c r="E432" s="291"/>
      <c r="F432" s="291"/>
      <c r="G432" s="291"/>
      <c r="H432" s="291"/>
      <c r="I432" s="291"/>
      <c r="J432" s="291"/>
      <c r="K432" s="291"/>
      <c r="L432" s="291"/>
      <c r="M432" s="291"/>
      <c r="N432" s="291"/>
      <c r="O432" s="291"/>
    </row>
    <row r="433" spans="1:15" s="284" customFormat="1" ht="18" customHeight="1" hidden="1">
      <c r="A433" s="291"/>
      <c r="B433" s="291"/>
      <c r="C433" s="291"/>
      <c r="D433" s="291"/>
      <c r="E433" s="291"/>
      <c r="F433" s="291"/>
      <c r="G433" s="291"/>
      <c r="H433" s="291"/>
      <c r="I433" s="291"/>
      <c r="J433" s="291"/>
      <c r="K433" s="291"/>
      <c r="L433" s="291"/>
      <c r="M433" s="291"/>
      <c r="N433" s="291"/>
      <c r="O433" s="291"/>
    </row>
    <row r="434" spans="1:15" s="284" customFormat="1" ht="18" customHeight="1" hidden="1">
      <c r="A434" s="291"/>
      <c r="B434" s="291"/>
      <c r="C434" s="291"/>
      <c r="D434" s="291"/>
      <c r="E434" s="291"/>
      <c r="F434" s="291"/>
      <c r="G434" s="291"/>
      <c r="H434" s="291"/>
      <c r="I434" s="291"/>
      <c r="J434" s="291"/>
      <c r="K434" s="291"/>
      <c r="L434" s="291"/>
      <c r="M434" s="291"/>
      <c r="N434" s="291"/>
      <c r="O434" s="291"/>
    </row>
    <row r="435" spans="1:15" s="284" customFormat="1" ht="18" customHeight="1" hidden="1">
      <c r="A435" s="291"/>
      <c r="B435" s="291"/>
      <c r="C435" s="291"/>
      <c r="D435" s="291"/>
      <c r="E435" s="291"/>
      <c r="F435" s="291"/>
      <c r="G435" s="291"/>
      <c r="H435" s="291"/>
      <c r="I435" s="291"/>
      <c r="J435" s="291"/>
      <c r="K435" s="291"/>
      <c r="L435" s="291"/>
      <c r="M435" s="291"/>
      <c r="N435" s="291"/>
      <c r="O435" s="291"/>
    </row>
    <row r="436" spans="1:15" s="284" customFormat="1" ht="18" customHeight="1" hidden="1">
      <c r="A436" s="291"/>
      <c r="B436" s="291"/>
      <c r="C436" s="291"/>
      <c r="D436" s="291"/>
      <c r="E436" s="291"/>
      <c r="F436" s="291"/>
      <c r="G436" s="291"/>
      <c r="H436" s="291"/>
      <c r="I436" s="291"/>
      <c r="J436" s="291"/>
      <c r="K436" s="291"/>
      <c r="L436" s="291"/>
      <c r="M436" s="291"/>
      <c r="N436" s="291"/>
      <c r="O436" s="291"/>
    </row>
    <row r="437" spans="1:15" s="284" customFormat="1" ht="18" customHeight="1" hidden="1">
      <c r="A437" s="291"/>
      <c r="B437" s="291"/>
      <c r="C437" s="291"/>
      <c r="D437" s="291"/>
      <c r="E437" s="291"/>
      <c r="F437" s="291"/>
      <c r="G437" s="291"/>
      <c r="H437" s="291"/>
      <c r="I437" s="291"/>
      <c r="J437" s="291"/>
      <c r="K437" s="291"/>
      <c r="L437" s="291"/>
      <c r="M437" s="291"/>
      <c r="N437" s="291"/>
      <c r="O437" s="291"/>
    </row>
    <row r="438" spans="13:14" ht="12.75">
      <c r="M438" s="290"/>
      <c r="N438" s="290"/>
    </row>
    <row r="439" spans="13:14" ht="12.75">
      <c r="M439" s="290"/>
      <c r="N439" s="290"/>
    </row>
  </sheetData>
  <sheetProtection password="DFA2" sheet="1" objects="1" scenarios="1" selectLockedCells="1"/>
  <mergeCells count="72">
    <mergeCell ref="J39:L39"/>
    <mergeCell ref="A11:N11"/>
    <mergeCell ref="H12:N13"/>
    <mergeCell ref="H14:N14"/>
    <mergeCell ref="H16:N16"/>
    <mergeCell ref="H17:N17"/>
    <mergeCell ref="H18:N18"/>
    <mergeCell ref="H19:N19"/>
    <mergeCell ref="H20:N20"/>
    <mergeCell ref="H21:N21"/>
    <mergeCell ref="M27:N27"/>
    <mergeCell ref="A26:N26"/>
    <mergeCell ref="B27:B28"/>
    <mergeCell ref="J27:L27"/>
    <mergeCell ref="H22:N22"/>
    <mergeCell ref="H23:N23"/>
    <mergeCell ref="H24:N24"/>
    <mergeCell ref="A5:L5"/>
    <mergeCell ref="A7:A8"/>
    <mergeCell ref="G7:G8"/>
    <mergeCell ref="B7:B8"/>
    <mergeCell ref="A24:E24"/>
    <mergeCell ref="A16:G16"/>
    <mergeCell ref="E4:F4"/>
    <mergeCell ref="H15:L15"/>
    <mergeCell ref="M30:N30"/>
    <mergeCell ref="P23:W27"/>
    <mergeCell ref="A12:E12"/>
    <mergeCell ref="A13:E13"/>
    <mergeCell ref="E30:G30"/>
    <mergeCell ref="A30:B30"/>
    <mergeCell ref="A23:E23"/>
    <mergeCell ref="A18:E18"/>
    <mergeCell ref="A37:H37"/>
    <mergeCell ref="A32:L32"/>
    <mergeCell ref="P2:W2"/>
    <mergeCell ref="P3:W10"/>
    <mergeCell ref="P12:W12"/>
    <mergeCell ref="P13:W22"/>
    <mergeCell ref="A6:N6"/>
    <mergeCell ref="M7:N7"/>
    <mergeCell ref="A19:E19"/>
    <mergeCell ref="A4:B4"/>
    <mergeCell ref="A34:H34"/>
    <mergeCell ref="C7:F7"/>
    <mergeCell ref="A10:L10"/>
    <mergeCell ref="A22:E22"/>
    <mergeCell ref="H7:I7"/>
    <mergeCell ref="J7:L7"/>
    <mergeCell ref="A17:E17"/>
    <mergeCell ref="A20:E20"/>
    <mergeCell ref="A21:E21"/>
    <mergeCell ref="A39:H39"/>
    <mergeCell ref="A15:G15"/>
    <mergeCell ref="J33:L37"/>
    <mergeCell ref="A36:H36"/>
    <mergeCell ref="A35:H35"/>
    <mergeCell ref="A33:H33"/>
    <mergeCell ref="C27:F27"/>
    <mergeCell ref="G27:G28"/>
    <mergeCell ref="H27:I27"/>
    <mergeCell ref="A38:H38"/>
    <mergeCell ref="G3:N3"/>
    <mergeCell ref="H4:N4"/>
    <mergeCell ref="A41:L41"/>
    <mergeCell ref="A40:L40"/>
    <mergeCell ref="A1:L1"/>
    <mergeCell ref="A3:F3"/>
    <mergeCell ref="J30:K30"/>
    <mergeCell ref="A14:E14"/>
    <mergeCell ref="A27:A28"/>
    <mergeCell ref="A2:N2"/>
  </mergeCells>
  <dataValidations count="3">
    <dataValidation errorStyle="warning" type="decimal" allowBlank="1" showInputMessage="1" showErrorMessage="1" errorTitle="nằm ngoài khoảng cho phép" error="Giá trị FOH phải nằm trong khoảng 450 - 1200 mm" sqref="F13">
      <formula1>400</formula1>
      <formula2>1210</formula2>
    </dataValidation>
    <dataValidation errorStyle="warning" type="decimal" operator="lessThan" allowBlank="1" showInputMessage="1" showErrorMessage="1" errorTitle="Chiều dài cơ sở quá lớn" error="Chiều dài cơ sở tính toán WB khôn g nên thiết kế lớn hơn 10.000 mm sẽ không thỏa mãn hành lang quay vòng của đoàn xe" sqref="F12">
      <formula1>11000</formula1>
    </dataValidation>
    <dataValidation errorStyle="warning" type="decimal" allowBlank="1" showInputMessage="1" showErrorMessage="1" errorTitle="nằm ngoài khoảng cho phép" error="Giá trị d phải nằm trong khoảng 1300 - 1500 mm" sqref="F14">
      <formula1>1300</formula1>
      <formula2>1500</formula2>
    </dataValidation>
  </dataValidations>
  <printOptions horizontalCentered="1" verticalCentered="1"/>
  <pageMargins left="0.39" right="0.27" top="0.26" bottom="0.28" header="0.19" footer="0.24"/>
  <pageSetup fitToHeight="1" fitToWidth="1" horizontalDpi="600" verticalDpi="600" orientation="landscape" paperSize="9" scale="58" r:id="rId2"/>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tabColor indexed="10"/>
  </sheetPr>
  <dimension ref="A1:AJ56"/>
  <sheetViews>
    <sheetView zoomScalePageLayoutView="0" workbookViewId="0" topLeftCell="A1">
      <selection activeCell="C26" sqref="C26"/>
    </sheetView>
  </sheetViews>
  <sheetFormatPr defaultColWidth="0" defaultRowHeight="15" customHeight="1" zeroHeight="1"/>
  <cols>
    <col min="1" max="1" width="28.28125" style="11" customWidth="1"/>
    <col min="2" max="2" width="19.140625" style="11" customWidth="1"/>
    <col min="3" max="3" width="13.140625" style="11" customWidth="1"/>
    <col min="4" max="4" width="18.00390625" style="11" customWidth="1"/>
    <col min="5" max="5" width="20.57421875" style="11" customWidth="1"/>
    <col min="6" max="6" width="13.8515625" style="11" customWidth="1"/>
    <col min="7" max="7" width="19.140625" style="11" customWidth="1"/>
    <col min="8" max="8" width="14.140625" style="11" customWidth="1"/>
    <col min="9" max="11" width="13.57421875" style="11" customWidth="1"/>
    <col min="12" max="12" width="10.421875" style="11" customWidth="1"/>
    <col min="13" max="13" width="33.421875" style="11" customWidth="1"/>
    <col min="14" max="14" width="37.28125" style="11" customWidth="1"/>
    <col min="15" max="15" width="24.7109375" style="11" customWidth="1"/>
    <col min="16" max="16" width="15.421875" style="11" customWidth="1"/>
    <col min="17" max="17" width="6.8515625" style="11" customWidth="1"/>
    <col min="18" max="19" width="10.140625" style="11" hidden="1" customWidth="1"/>
    <col min="20" max="20" width="32.28125" style="11" hidden="1" customWidth="1"/>
    <col min="21" max="21" width="13.7109375" style="11" hidden="1" customWidth="1"/>
    <col min="22" max="22" width="12.28125" style="11" hidden="1" customWidth="1"/>
    <col min="23" max="25" width="22.00390625" style="11" hidden="1" customWidth="1"/>
    <col min="26" max="26" width="10.140625" style="11" hidden="1" customWidth="1"/>
    <col min="27" max="29" width="12.28125" style="11" hidden="1" customWidth="1"/>
    <col min="30" max="30" width="44.421875" style="11" hidden="1" customWidth="1"/>
    <col min="31" max="37" width="10.140625" style="11" hidden="1" customWidth="1"/>
    <col min="38" max="16384" width="9.140625" style="11" hidden="1" customWidth="1"/>
  </cols>
  <sheetData>
    <row r="1" spans="1:36" ht="41.25" customHeight="1" thickBot="1">
      <c r="A1" s="512" t="s">
        <v>165</v>
      </c>
      <c r="B1" s="512"/>
      <c r="C1" s="512"/>
      <c r="D1" s="512"/>
      <c r="E1" s="512"/>
      <c r="F1" s="512"/>
      <c r="G1" s="512"/>
      <c r="H1" s="512"/>
      <c r="I1" s="512"/>
      <c r="J1" s="512"/>
      <c r="K1" s="512"/>
      <c r="L1" s="4"/>
      <c r="M1" s="161" t="s">
        <v>221</v>
      </c>
      <c r="N1" s="5"/>
      <c r="O1" s="5"/>
      <c r="P1" s="6"/>
      <c r="Q1" s="7"/>
      <c r="R1" s="8"/>
      <c r="S1" s="8"/>
      <c r="T1" s="8"/>
      <c r="U1" s="8"/>
      <c r="V1" s="8"/>
      <c r="W1" s="8"/>
      <c r="X1" s="8"/>
      <c r="Y1" s="8"/>
      <c r="Z1" s="8"/>
      <c r="AA1" s="8"/>
      <c r="AB1" s="8"/>
      <c r="AC1" s="8"/>
      <c r="AD1" s="9"/>
      <c r="AE1" s="10"/>
      <c r="AF1" s="10"/>
      <c r="AG1" s="10"/>
      <c r="AH1" s="10"/>
      <c r="AI1" s="10"/>
      <c r="AJ1" s="10"/>
    </row>
    <row r="2" spans="1:36" s="17" customFormat="1" ht="28.5" customHeight="1" hidden="1" thickTop="1">
      <c r="A2" s="162" t="s">
        <v>166</v>
      </c>
      <c r="B2" s="513" t="s">
        <v>167</v>
      </c>
      <c r="C2" s="514"/>
      <c r="D2" s="163" t="s">
        <v>168</v>
      </c>
      <c r="E2" s="513" t="s">
        <v>169</v>
      </c>
      <c r="F2" s="514"/>
      <c r="G2" s="515" t="s">
        <v>170</v>
      </c>
      <c r="H2" s="515"/>
      <c r="I2" s="515"/>
      <c r="J2" s="516"/>
      <c r="K2" s="517"/>
      <c r="L2" s="12"/>
      <c r="M2" s="12"/>
      <c r="N2" s="12"/>
      <c r="O2" s="164"/>
      <c r="P2" s="13"/>
      <c r="Q2" s="14"/>
      <c r="R2" s="15"/>
      <c r="S2" s="15"/>
      <c r="T2" s="15"/>
      <c r="U2" s="15"/>
      <c r="V2" s="15"/>
      <c r="W2" s="15"/>
      <c r="X2" s="15"/>
      <c r="Y2" s="15"/>
      <c r="Z2" s="15"/>
      <c r="AA2" s="15"/>
      <c r="AB2" s="15"/>
      <c r="AC2" s="15"/>
      <c r="AD2" s="16"/>
      <c r="AE2" s="16"/>
      <c r="AF2" s="16"/>
      <c r="AG2" s="16"/>
      <c r="AH2" s="16"/>
      <c r="AI2" s="16"/>
      <c r="AJ2" s="16"/>
    </row>
    <row r="3" spans="1:36" s="17" customFormat="1" ht="28.5" customHeight="1" hidden="1" thickBot="1">
      <c r="A3" s="165"/>
      <c r="B3" s="518"/>
      <c r="C3" s="519"/>
      <c r="D3" s="166">
        <v>36</v>
      </c>
      <c r="E3" s="167"/>
      <c r="F3" s="168"/>
      <c r="G3" s="520"/>
      <c r="H3" s="520"/>
      <c r="I3" s="520"/>
      <c r="J3" s="521"/>
      <c r="K3" s="522"/>
      <c r="L3" s="12"/>
      <c r="M3" s="12"/>
      <c r="N3" s="12"/>
      <c r="O3" s="164"/>
      <c r="P3" s="13"/>
      <c r="Q3" s="14"/>
      <c r="R3" s="15"/>
      <c r="S3" s="15"/>
      <c r="T3" s="15"/>
      <c r="U3" s="15"/>
      <c r="V3" s="15"/>
      <c r="W3" s="15"/>
      <c r="X3" s="15"/>
      <c r="Y3" s="15"/>
      <c r="Z3" s="15"/>
      <c r="AA3" s="15"/>
      <c r="AB3" s="15"/>
      <c r="AC3" s="15"/>
      <c r="AD3" s="16"/>
      <c r="AE3" s="16"/>
      <c r="AF3" s="16"/>
      <c r="AG3" s="16"/>
      <c r="AH3" s="16"/>
      <c r="AI3" s="16"/>
      <c r="AJ3" s="16"/>
    </row>
    <row r="4" spans="1:36" ht="27" customHeight="1" thickBot="1" thickTop="1">
      <c r="A4" s="500" t="s">
        <v>171</v>
      </c>
      <c r="B4" s="501"/>
      <c r="C4" s="501"/>
      <c r="D4" s="501"/>
      <c r="E4" s="501"/>
      <c r="F4" s="501"/>
      <c r="G4" s="501"/>
      <c r="H4" s="501"/>
      <c r="I4" s="501"/>
      <c r="J4" s="501"/>
      <c r="K4" s="502"/>
      <c r="L4" s="18"/>
      <c r="M4" s="18"/>
      <c r="N4" s="18"/>
      <c r="O4" s="164"/>
      <c r="P4" s="13"/>
      <c r="Q4" s="7"/>
      <c r="R4" s="8"/>
      <c r="S4" s="8"/>
      <c r="T4" s="8"/>
      <c r="U4" s="8"/>
      <c r="V4" s="8"/>
      <c r="W4" s="8"/>
      <c r="X4" s="8"/>
      <c r="Y4" s="8"/>
      <c r="Z4" s="8"/>
      <c r="AA4" s="8"/>
      <c r="AB4" s="8"/>
      <c r="AC4" s="8"/>
      <c r="AD4" s="9"/>
      <c r="AE4" s="10"/>
      <c r="AF4" s="10"/>
      <c r="AG4" s="10"/>
      <c r="AH4" s="10"/>
      <c r="AI4" s="10"/>
      <c r="AJ4" s="10"/>
    </row>
    <row r="5" spans="1:36" s="17" customFormat="1" ht="21.75" customHeight="1" thickTop="1">
      <c r="A5" s="503" t="s">
        <v>30</v>
      </c>
      <c r="B5" s="505" t="s">
        <v>31</v>
      </c>
      <c r="C5" s="505" t="s">
        <v>172</v>
      </c>
      <c r="D5" s="505" t="s">
        <v>173</v>
      </c>
      <c r="E5" s="506" t="s">
        <v>174</v>
      </c>
      <c r="F5" s="506" t="s">
        <v>175</v>
      </c>
      <c r="G5" s="506" t="s">
        <v>33</v>
      </c>
      <c r="H5" s="506"/>
      <c r="I5" s="508" t="s">
        <v>176</v>
      </c>
      <c r="J5" s="510" t="s">
        <v>177</v>
      </c>
      <c r="K5" s="491" t="s">
        <v>178</v>
      </c>
      <c r="L5" s="20"/>
      <c r="M5" s="20"/>
      <c r="N5" s="20"/>
      <c r="O5" s="21"/>
      <c r="P5" s="22"/>
      <c r="Q5" s="14"/>
      <c r="R5" s="15"/>
      <c r="S5" s="15"/>
      <c r="T5" s="15"/>
      <c r="U5" s="15"/>
      <c r="V5" s="15"/>
      <c r="W5" s="15"/>
      <c r="X5" s="15"/>
      <c r="Y5" s="15"/>
      <c r="Z5" s="15"/>
      <c r="AA5" s="15"/>
      <c r="AB5" s="15"/>
      <c r="AC5" s="15"/>
      <c r="AD5" s="16"/>
      <c r="AE5" s="16"/>
      <c r="AF5" s="16"/>
      <c r="AG5" s="16"/>
      <c r="AH5" s="16"/>
      <c r="AI5" s="16"/>
      <c r="AJ5" s="16"/>
    </row>
    <row r="6" spans="1:36" s="27" customFormat="1" ht="88.5" customHeight="1">
      <c r="A6" s="504"/>
      <c r="B6" s="506"/>
      <c r="C6" s="506"/>
      <c r="D6" s="506"/>
      <c r="E6" s="507"/>
      <c r="F6" s="507"/>
      <c r="G6" s="19" t="s">
        <v>179</v>
      </c>
      <c r="H6" s="19" t="s">
        <v>34</v>
      </c>
      <c r="I6" s="509"/>
      <c r="J6" s="511"/>
      <c r="K6" s="492"/>
      <c r="L6" s="23"/>
      <c r="M6" s="20"/>
      <c r="N6" s="20"/>
      <c r="O6" s="21"/>
      <c r="P6" s="22"/>
      <c r="Q6" s="24"/>
      <c r="R6" s="25"/>
      <c r="S6" s="25"/>
      <c r="T6" s="25"/>
      <c r="U6" s="25"/>
      <c r="V6" s="25"/>
      <c r="W6" s="25"/>
      <c r="X6" s="25"/>
      <c r="Y6" s="25"/>
      <c r="Z6" s="25"/>
      <c r="AA6" s="25"/>
      <c r="AB6" s="25"/>
      <c r="AC6" s="25"/>
      <c r="AD6" s="26"/>
      <c r="AE6" s="26"/>
      <c r="AF6" s="26"/>
      <c r="AG6" s="26"/>
      <c r="AH6" s="26"/>
      <c r="AI6" s="26"/>
      <c r="AJ6" s="26"/>
    </row>
    <row r="7" spans="1:36" s="32" customFormat="1" ht="39" customHeight="1" thickBot="1">
      <c r="A7" s="265" t="str">
        <f>'Tính toán ĐC SMRM - Sơ bộ'!A9</f>
        <v>ABC</v>
      </c>
      <c r="B7" s="264" t="str">
        <f>'Tính toán ĐC SMRM - Sơ bộ'!G3</f>
        <v>Sơ mi rơ moóc tải (chở container)</v>
      </c>
      <c r="C7" s="264">
        <f>'Tính toán ĐC SMRM - Sơ bộ'!F9</f>
        <v>12400</v>
      </c>
      <c r="D7" s="264">
        <f>'Tính toán ĐC SMRM - Sơ bộ'!E9</f>
        <v>900</v>
      </c>
      <c r="E7" s="262" t="str">
        <f>'Tính toán ĐC SMRM - Sơ bộ'!C30</f>
        <v>9420 + 1310</v>
      </c>
      <c r="F7" s="263">
        <f>'Tính toán ĐC SMRM - Sơ bộ'!D29</f>
        <v>4790</v>
      </c>
      <c r="G7" s="264">
        <f>'Tính toán ĐC SMRM - Sơ bộ'!H29</f>
        <v>1030</v>
      </c>
      <c r="H7" s="264">
        <f>'Tính toán ĐC SMRM - Sơ bộ'!I29</f>
        <v>2530</v>
      </c>
      <c r="I7" s="170"/>
      <c r="J7" s="169">
        <f>3075*12</f>
        <v>36900</v>
      </c>
      <c r="K7" s="261">
        <f>'Tính toán ĐC SMRM - Sơ bộ'!G9</f>
        <v>33560</v>
      </c>
      <c r="L7" s="23"/>
      <c r="M7" s="28"/>
      <c r="N7" s="28"/>
      <c r="O7" s="29"/>
      <c r="P7" s="29"/>
      <c r="Q7" s="30"/>
      <c r="R7" s="31"/>
      <c r="S7" s="31"/>
      <c r="T7" s="31"/>
      <c r="U7" s="31"/>
      <c r="V7" s="31"/>
      <c r="W7" s="31"/>
      <c r="X7" s="31"/>
      <c r="Y7" s="31"/>
      <c r="Z7" s="31"/>
      <c r="AA7" s="31"/>
      <c r="AB7" s="31"/>
      <c r="AC7" s="31"/>
      <c r="AD7" s="31"/>
      <c r="AE7" s="31"/>
      <c r="AF7" s="31"/>
      <c r="AG7" s="31"/>
      <c r="AH7" s="31"/>
      <c r="AI7" s="31"/>
      <c r="AJ7" s="31"/>
    </row>
    <row r="8" spans="1:36" s="17" customFormat="1" ht="19.5" customHeight="1" thickBot="1" thickTop="1">
      <c r="A8" s="493" t="s">
        <v>36</v>
      </c>
      <c r="B8" s="493"/>
      <c r="C8" s="493"/>
      <c r="D8" s="493"/>
      <c r="E8" s="493"/>
      <c r="F8" s="493"/>
      <c r="G8" s="493"/>
      <c r="H8" s="493"/>
      <c r="I8" s="493"/>
      <c r="J8" s="171"/>
      <c r="K8" s="171"/>
      <c r="L8" s="33"/>
      <c r="M8" s="33"/>
      <c r="N8" s="33"/>
      <c r="O8" s="34"/>
      <c r="P8" s="35"/>
      <c r="Q8" s="14"/>
      <c r="R8" s="15"/>
      <c r="S8" s="15"/>
      <c r="T8" s="15"/>
      <c r="U8" s="15"/>
      <c r="V8" s="15"/>
      <c r="W8" s="15"/>
      <c r="X8" s="15"/>
      <c r="Y8" s="15"/>
      <c r="Z8" s="15"/>
      <c r="AA8" s="15"/>
      <c r="AB8" s="15"/>
      <c r="AC8" s="15"/>
      <c r="AD8" s="16"/>
      <c r="AE8" s="16"/>
      <c r="AF8" s="16"/>
      <c r="AG8" s="16"/>
      <c r="AH8" s="16"/>
      <c r="AI8" s="16"/>
      <c r="AJ8" s="16"/>
    </row>
    <row r="9" spans="1:36" s="17" customFormat="1" ht="27.75" customHeight="1" thickTop="1">
      <c r="A9" s="494" t="s">
        <v>181</v>
      </c>
      <c r="B9" s="495"/>
      <c r="C9" s="495"/>
      <c r="D9" s="495"/>
      <c r="E9" s="495"/>
      <c r="F9" s="495"/>
      <c r="G9" s="495"/>
      <c r="H9" s="495"/>
      <c r="I9" s="495"/>
      <c r="J9" s="495"/>
      <c r="K9" s="496"/>
      <c r="L9" s="172"/>
      <c r="M9" s="36"/>
      <c r="N9" s="36"/>
      <c r="O9" s="34"/>
      <c r="P9" s="35"/>
      <c r="Q9" s="14"/>
      <c r="R9" s="15"/>
      <c r="S9" s="15"/>
      <c r="T9" s="15"/>
      <c r="U9" s="15"/>
      <c r="V9" s="15"/>
      <c r="W9" s="15"/>
      <c r="X9" s="15"/>
      <c r="Y9" s="15"/>
      <c r="Z9" s="15"/>
      <c r="AA9" s="15"/>
      <c r="AB9" s="15"/>
      <c r="AC9" s="15"/>
      <c r="AD9" s="16"/>
      <c r="AE9" s="16"/>
      <c r="AF9" s="16"/>
      <c r="AG9" s="16"/>
      <c r="AH9" s="16"/>
      <c r="AI9" s="16"/>
      <c r="AJ9" s="16"/>
    </row>
    <row r="10" spans="1:36" s="17" customFormat="1" ht="40.5" customHeight="1">
      <c r="A10" s="37" t="s">
        <v>30</v>
      </c>
      <c r="B10" s="39" t="s">
        <v>182</v>
      </c>
      <c r="C10" s="38" t="s">
        <v>183</v>
      </c>
      <c r="D10" s="38" t="s">
        <v>184</v>
      </c>
      <c r="E10" s="39" t="s">
        <v>37</v>
      </c>
      <c r="F10" s="39" t="s">
        <v>38</v>
      </c>
      <c r="G10" s="40" t="s">
        <v>185</v>
      </c>
      <c r="H10" s="41" t="s">
        <v>39</v>
      </c>
      <c r="I10" s="41" t="s">
        <v>40</v>
      </c>
      <c r="J10" s="39" t="s">
        <v>41</v>
      </c>
      <c r="K10" s="42" t="s">
        <v>186</v>
      </c>
      <c r="L10" s="172"/>
      <c r="M10" s="43"/>
      <c r="N10" s="43"/>
      <c r="O10" s="34"/>
      <c r="P10" s="35"/>
      <c r="Q10" s="14"/>
      <c r="R10" s="15"/>
      <c r="S10" s="15"/>
      <c r="T10" s="15"/>
      <c r="U10" s="15"/>
      <c r="V10" s="15"/>
      <c r="W10" s="15"/>
      <c r="X10" s="15"/>
      <c r="Y10" s="15"/>
      <c r="Z10" s="15"/>
      <c r="AA10" s="15"/>
      <c r="AB10" s="15"/>
      <c r="AC10" s="15"/>
      <c r="AD10" s="16"/>
      <c r="AE10" s="16"/>
      <c r="AF10" s="16"/>
      <c r="AG10" s="16"/>
      <c r="AH10" s="16"/>
      <c r="AI10" s="16"/>
      <c r="AJ10" s="16"/>
    </row>
    <row r="11" spans="1:36" s="53" customFormat="1" ht="23.25" customHeight="1" thickBot="1">
      <c r="A11" s="44" t="s">
        <v>187</v>
      </c>
      <c r="B11" s="45" t="str">
        <f>VLOOKUP($A$11,$T$20:$AA$27,2,0)</f>
        <v>6x2</v>
      </c>
      <c r="C11" s="45">
        <f>VLOOKUP($A$11,$T$20:$AB$27,3,0)</f>
        <v>6990</v>
      </c>
      <c r="D11" s="45">
        <f>VLOOKUP($A$11,$T$20:$AB$27,4,0)</f>
        <v>1820</v>
      </c>
      <c r="E11" s="45">
        <f>VLOOKUP($A$11,$T$20:$AB$27,5,0)</f>
        <v>8785</v>
      </c>
      <c r="F11" s="45">
        <f>VLOOKUP($A$11,$T$20:$AB$27,6,0)</f>
        <v>130</v>
      </c>
      <c r="G11" s="46">
        <f>VLOOKUP($A$11,$T$20:$AB$27,7,0)</f>
        <v>15085</v>
      </c>
      <c r="H11" s="46">
        <f>VLOOKUP($A$11,$T$20:$AB$27,8,0)</f>
        <v>24000</v>
      </c>
      <c r="I11" s="46">
        <f>VLOOKUP($A$11,$T$20:$AB$27,9,0)</f>
        <v>39085</v>
      </c>
      <c r="J11" s="173">
        <f>VLOOKUP($A$11,$T$20:$AC$27,10,0)</f>
        <v>55085</v>
      </c>
      <c r="K11" s="174">
        <f>$J$11+$F$11+$E$11</f>
        <v>64000</v>
      </c>
      <c r="L11" s="58"/>
      <c r="M11" s="47"/>
      <c r="N11" s="47"/>
      <c r="O11" s="48"/>
      <c r="P11" s="49"/>
      <c r="Q11" s="50"/>
      <c r="R11" s="51"/>
      <c r="S11" s="51"/>
      <c r="T11" s="51"/>
      <c r="U11" s="51"/>
      <c r="V11" s="51"/>
      <c r="W11" s="51"/>
      <c r="X11" s="51"/>
      <c r="Y11" s="51"/>
      <c r="Z11" s="51"/>
      <c r="AA11" s="51"/>
      <c r="AB11" s="51"/>
      <c r="AC11" s="51"/>
      <c r="AD11" s="9"/>
      <c r="AE11" s="52"/>
      <c r="AF11" s="52"/>
      <c r="AG11" s="52"/>
      <c r="AH11" s="52"/>
      <c r="AI11" s="52"/>
      <c r="AJ11" s="52"/>
    </row>
    <row r="12" spans="1:36" s="17" customFormat="1" ht="18" customHeight="1" thickTop="1">
      <c r="A12" s="497">
        <f>IF($C$11-$D$11+$C$7-$D$7&gt;20000,CONCATENATE("Phải lựa chọn đầu kéo mẫu khác do chiều dài toàn bộ của đoàn xe (",($C$11-$D$11+$C$7-$D$7)/1000," m) lớn hơn quy định hiện hành (20 m)"),"")</f>
      </c>
      <c r="B12" s="497"/>
      <c r="C12" s="497"/>
      <c r="D12" s="497"/>
      <c r="E12" s="497"/>
      <c r="F12" s="497"/>
      <c r="G12" s="497"/>
      <c r="H12" s="497"/>
      <c r="I12" s="497"/>
      <c r="J12" s="497"/>
      <c r="K12" s="497"/>
      <c r="L12" s="54"/>
      <c r="M12" s="54"/>
      <c r="N12" s="54"/>
      <c r="O12" s="34"/>
      <c r="P12" s="35"/>
      <c r="Q12" s="14"/>
      <c r="R12" s="15"/>
      <c r="S12" s="15"/>
      <c r="T12" s="175"/>
      <c r="U12" s="55"/>
      <c r="V12" s="8"/>
      <c r="W12" s="8"/>
      <c r="X12" s="8"/>
      <c r="Y12" s="8"/>
      <c r="Z12" s="8"/>
      <c r="AA12" s="8"/>
      <c r="AB12" s="8"/>
      <c r="AC12" s="8"/>
      <c r="AD12" s="56"/>
      <c r="AE12" s="16"/>
      <c r="AF12" s="16"/>
      <c r="AG12" s="16"/>
      <c r="AH12" s="16"/>
      <c r="AI12" s="16"/>
      <c r="AJ12" s="16"/>
    </row>
    <row r="13" spans="1:36" s="17" customFormat="1" ht="19.5" customHeight="1">
      <c r="A13" s="498" t="str">
        <f>IF($I$11=$J$37,CONCATENATE("Nên lựa chọn đầu kéo mẫu khác do khối lượng toàn bộ CPTGGT của SMRM (",$J$37," kg) bị hạn chế bởi khối lượng kéo theo CPTGGT của đầu kéo mẫu (",$I$11," kg)"),CONCATENATE("Khối lượng kéo theo theo CPTGGT của đầu kéo mẫu (",$I$11," kg) phù hợp để kéo khối lượng toàn bộ CPTGGT của SMRM (",$J$37," kg)"))</f>
        <v>Khối lượng kéo theo theo CPTGGT của đầu kéo mẫu (39085 kg) phù hợp để kéo khối lượng toàn bộ CPTGGT của SMRM (33050 kg)</v>
      </c>
      <c r="B13" s="498"/>
      <c r="C13" s="498"/>
      <c r="D13" s="498"/>
      <c r="E13" s="498"/>
      <c r="F13" s="498"/>
      <c r="G13" s="498"/>
      <c r="H13" s="498"/>
      <c r="I13" s="498"/>
      <c r="J13" s="498"/>
      <c r="K13" s="498"/>
      <c r="L13" s="54"/>
      <c r="M13" s="54"/>
      <c r="N13" s="54"/>
      <c r="O13" s="34"/>
      <c r="P13" s="35"/>
      <c r="Q13" s="14"/>
      <c r="R13" s="15"/>
      <c r="S13" s="15"/>
      <c r="T13" s="175"/>
      <c r="U13" s="55"/>
      <c r="V13" s="8"/>
      <c r="W13" s="8"/>
      <c r="X13" s="8"/>
      <c r="Y13" s="8"/>
      <c r="Z13" s="8"/>
      <c r="AA13" s="8"/>
      <c r="AB13" s="8"/>
      <c r="AC13" s="8"/>
      <c r="AD13" s="56"/>
      <c r="AE13" s="16"/>
      <c r="AF13" s="16"/>
      <c r="AG13" s="16"/>
      <c r="AH13" s="16"/>
      <c r="AI13" s="16"/>
      <c r="AJ13" s="16"/>
    </row>
    <row r="14" spans="1:36" s="17" customFormat="1" ht="19.5" customHeight="1" thickBot="1">
      <c r="A14" s="499">
        <f>IF($J$33&gt;$J$11,CONCATENATE("Lưu ý: Khối lượng kéo theo theo TK của đầu kéo mẫu (",$J$11," kg) &lt; khối lượng toàn bộ theo TK của SMRM (",$J$33," kg)"),"")</f>
      </c>
      <c r="B14" s="499"/>
      <c r="C14" s="499"/>
      <c r="D14" s="499"/>
      <c r="E14" s="499"/>
      <c r="F14" s="499"/>
      <c r="G14" s="499"/>
      <c r="H14" s="499"/>
      <c r="I14" s="499"/>
      <c r="J14" s="499"/>
      <c r="K14" s="499"/>
      <c r="L14" s="54"/>
      <c r="M14" s="54"/>
      <c r="N14" s="54"/>
      <c r="O14" s="34"/>
      <c r="P14" s="35"/>
      <c r="Q14" s="14"/>
      <c r="R14" s="15"/>
      <c r="S14" s="15"/>
      <c r="T14" s="175"/>
      <c r="U14" s="55"/>
      <c r="V14" s="8"/>
      <c r="W14" s="8"/>
      <c r="X14" s="8"/>
      <c r="Y14" s="8"/>
      <c r="Z14" s="8"/>
      <c r="AA14" s="8"/>
      <c r="AB14" s="8"/>
      <c r="AC14" s="8"/>
      <c r="AD14" s="56"/>
      <c r="AE14" s="16"/>
      <c r="AF14" s="16"/>
      <c r="AG14" s="16"/>
      <c r="AH14" s="16"/>
      <c r="AI14" s="16"/>
      <c r="AJ14" s="16"/>
    </row>
    <row r="15" spans="1:36" s="53" customFormat="1" ht="26.25" customHeight="1" thickTop="1">
      <c r="A15" s="477" t="s">
        <v>43</v>
      </c>
      <c r="B15" s="478"/>
      <c r="C15" s="478"/>
      <c r="D15" s="478"/>
      <c r="E15" s="478"/>
      <c r="F15" s="478"/>
      <c r="G15" s="478"/>
      <c r="H15" s="479" t="s">
        <v>219</v>
      </c>
      <c r="I15" s="479"/>
      <c r="J15" s="479" t="s">
        <v>220</v>
      </c>
      <c r="K15" s="480"/>
      <c r="L15" s="57"/>
      <c r="M15" s="58"/>
      <c r="N15" s="58"/>
      <c r="O15" s="48"/>
      <c r="P15" s="49"/>
      <c r="Q15" s="50"/>
      <c r="R15" s="51"/>
      <c r="S15" s="51"/>
      <c r="T15" s="176"/>
      <c r="U15" s="59"/>
      <c r="V15" s="60"/>
      <c r="W15" s="59"/>
      <c r="X15" s="59"/>
      <c r="Y15" s="59"/>
      <c r="Z15" s="8"/>
      <c r="AA15" s="61"/>
      <c r="AB15" s="61"/>
      <c r="AC15" s="61"/>
      <c r="AD15" s="56"/>
      <c r="AE15" s="52"/>
      <c r="AF15" s="52"/>
      <c r="AG15" s="52"/>
      <c r="AH15" s="52"/>
      <c r="AI15" s="52"/>
      <c r="AJ15" s="52"/>
    </row>
    <row r="16" spans="1:36" s="53" customFormat="1" ht="19.5" customHeight="1">
      <c r="A16" s="464" t="s">
        <v>44</v>
      </c>
      <c r="B16" s="465"/>
      <c r="C16" s="63">
        <f>$J$29</f>
        <v>3560</v>
      </c>
      <c r="D16" s="62" t="s">
        <v>1</v>
      </c>
      <c r="E16" s="481" t="str">
        <f>CONCATENATE("- Ghi chú: KL hàng chuyên chở theo TK được ghi nhận ",HLOOKUP($P$30,$M$30:$O$32,2,0)," ",HLOOKUP($P$30,$M$30:$O$32,3,0))</f>
        <v>- Ghi chú: KL hàng chuyên chở theo TK được ghi nhận căn cứ KL toàn bộ  của SMRM theo  tài liệu hoặc công bố của nhà sản xuất (33560 kg)</v>
      </c>
      <c r="F16" s="481"/>
      <c r="G16" s="482"/>
      <c r="H16" s="483" t="s">
        <v>45</v>
      </c>
      <c r="I16" s="483"/>
      <c r="J16" s="483" t="s">
        <v>45</v>
      </c>
      <c r="K16" s="484"/>
      <c r="L16" s="64"/>
      <c r="M16" s="65"/>
      <c r="N16" s="65"/>
      <c r="O16" s="48"/>
      <c r="P16" s="49"/>
      <c r="Q16" s="50"/>
      <c r="R16" s="51"/>
      <c r="S16" s="51"/>
      <c r="T16" s="51"/>
      <c r="U16" s="51"/>
      <c r="V16" s="51"/>
      <c r="W16" s="51"/>
      <c r="X16" s="51"/>
      <c r="Y16" s="51"/>
      <c r="Z16" s="51"/>
      <c r="AA16" s="51"/>
      <c r="AB16" s="51"/>
      <c r="AC16" s="51"/>
      <c r="AD16" s="9"/>
      <c r="AE16" s="52"/>
      <c r="AF16" s="52"/>
      <c r="AG16" s="52"/>
      <c r="AH16" s="52"/>
      <c r="AI16" s="52"/>
      <c r="AJ16" s="52"/>
    </row>
    <row r="17" spans="1:36" s="53" customFormat="1" ht="19.5" customHeight="1">
      <c r="A17" s="464" t="s">
        <v>46</v>
      </c>
      <c r="B17" s="465"/>
      <c r="C17" s="63">
        <f>$J$30</f>
        <v>30000</v>
      </c>
      <c r="D17" s="62" t="s">
        <v>1</v>
      </c>
      <c r="E17" s="481"/>
      <c r="F17" s="481"/>
      <c r="G17" s="482"/>
      <c r="H17" s="485"/>
      <c r="I17" s="485"/>
      <c r="J17" s="485"/>
      <c r="K17" s="488"/>
      <c r="L17" s="64"/>
      <c r="M17" s="66"/>
      <c r="N17" s="66"/>
      <c r="O17" s="48"/>
      <c r="P17" s="49"/>
      <c r="Q17" s="50"/>
      <c r="R17" s="51"/>
      <c r="S17" s="51"/>
      <c r="T17" s="51"/>
      <c r="U17" s="51"/>
      <c r="V17" s="51"/>
      <c r="W17" s="51"/>
      <c r="X17" s="51"/>
      <c r="Y17" s="51"/>
      <c r="Z17" s="51"/>
      <c r="AA17" s="51"/>
      <c r="AB17" s="51"/>
      <c r="AC17" s="51"/>
      <c r="AD17" s="56"/>
      <c r="AE17" s="52"/>
      <c r="AF17" s="52"/>
      <c r="AG17" s="52"/>
      <c r="AH17" s="52"/>
      <c r="AI17" s="52"/>
      <c r="AJ17" s="52"/>
    </row>
    <row r="18" spans="1:36" s="53" customFormat="1" ht="19.5" customHeight="1">
      <c r="A18" s="460" t="s">
        <v>47</v>
      </c>
      <c r="B18" s="461"/>
      <c r="C18" s="68">
        <f>$J$34</f>
        <v>29490</v>
      </c>
      <c r="D18" s="67" t="s">
        <v>1</v>
      </c>
      <c r="E18" s="462" t="str">
        <f>IF($M$34=$N$34,IF($M$34=$O$34,"- KL hàng chuyên chở CPTGGT bằng KL hàng chuyên chở theo TK do phân bố KL toàn bộ lên kingpin và cầu sau / cụm cầu sau cũng như KL toàn bộ theo TK nhỏ hơn các quy định liên quan đến khối lượng CPTGGT hiện hành.",CONCATENATE("- KL hàng chuyên chở CPTGGT được tính toán ",HLOOKUP($P$34,$M$34:$O$38,2,0)," ",HLOOKUP($P$34,$M$34:$O$38,3,0)," ",HLOOKUP($P$34,$M$34:$O$38,4,0)," ",HLOOKUP($P$34,$M$34:$O$38,5,0))),CONCATENATE("- KL hàng chuyên chở CPTGGT được tính toán ",HLOOKUP($P$34,$M$34:$O$38,2,0)," ",HLOOKUP($P$34,$M$34:$O$38,3,0)," ",HLOOKUP($P$34,$M$34:$O$38,4,0)," ",HLOOKUP($P$34,$M$34:$O$38,5,0)))</f>
        <v>- KL hàng chuyên chở CPTGGT được tính toán căn cứ theo giá trị min giữa tải trọng trục cho phép TGGT của cầu sau / cụm cầu sau của SMRM (18000 kg) và KL toàn bộ theo TK phân bố lên cầu sau / cụm cầu sau của SMRM (18267 kg)</v>
      </c>
      <c r="F18" s="462"/>
      <c r="G18" s="463"/>
      <c r="H18" s="486"/>
      <c r="I18" s="486"/>
      <c r="J18" s="486"/>
      <c r="K18" s="489"/>
      <c r="L18" s="64"/>
      <c r="M18" s="66"/>
      <c r="N18" s="66"/>
      <c r="O18" s="48"/>
      <c r="P18" s="49"/>
      <c r="Q18" s="50"/>
      <c r="R18" s="51"/>
      <c r="S18" s="51"/>
      <c r="T18" s="51"/>
      <c r="U18" s="51"/>
      <c r="V18" s="51"/>
      <c r="W18" s="51"/>
      <c r="X18" s="51"/>
      <c r="Y18" s="51"/>
      <c r="Z18" s="51"/>
      <c r="AA18" s="51"/>
      <c r="AB18" s="51"/>
      <c r="AC18" s="51"/>
      <c r="AD18" s="69"/>
      <c r="AE18" s="52"/>
      <c r="AF18" s="52"/>
      <c r="AG18" s="52"/>
      <c r="AH18" s="52"/>
      <c r="AI18" s="52"/>
      <c r="AJ18" s="52"/>
    </row>
    <row r="19" spans="1:36" s="53" customFormat="1" ht="19.5" customHeight="1">
      <c r="A19" s="464" t="s">
        <v>48</v>
      </c>
      <c r="B19" s="465"/>
      <c r="C19" s="63">
        <f>$J$33</f>
        <v>33560</v>
      </c>
      <c r="D19" s="62" t="s">
        <v>1</v>
      </c>
      <c r="E19" s="462"/>
      <c r="F19" s="462"/>
      <c r="G19" s="463"/>
      <c r="H19" s="486"/>
      <c r="I19" s="486"/>
      <c r="J19" s="486"/>
      <c r="K19" s="489"/>
      <c r="L19" s="64"/>
      <c r="M19" s="66"/>
      <c r="N19" s="66"/>
      <c r="O19" s="48"/>
      <c r="P19" s="49"/>
      <c r="Q19" s="50"/>
      <c r="R19" s="51"/>
      <c r="S19" s="51"/>
      <c r="T19" s="51"/>
      <c r="U19" s="51"/>
      <c r="V19" s="51" t="s">
        <v>51</v>
      </c>
      <c r="W19" s="51" t="s">
        <v>52</v>
      </c>
      <c r="X19" s="51"/>
      <c r="Y19" s="51"/>
      <c r="Z19" s="51"/>
      <c r="AA19" s="51"/>
      <c r="AB19" s="51"/>
      <c r="AC19" s="51"/>
      <c r="AD19" s="70"/>
      <c r="AE19" s="52"/>
      <c r="AF19" s="52"/>
      <c r="AG19" s="52"/>
      <c r="AH19" s="52"/>
      <c r="AI19" s="52"/>
      <c r="AJ19" s="52"/>
    </row>
    <row r="20" spans="1:36" s="53" customFormat="1" ht="19.5" customHeight="1">
      <c r="A20" s="460" t="s">
        <v>49</v>
      </c>
      <c r="B20" s="461"/>
      <c r="C20" s="68">
        <f>$J$37</f>
        <v>33050</v>
      </c>
      <c r="D20" s="67" t="s">
        <v>1</v>
      </c>
      <c r="E20" s="462"/>
      <c r="F20" s="462"/>
      <c r="G20" s="463"/>
      <c r="H20" s="486"/>
      <c r="I20" s="486"/>
      <c r="J20" s="486"/>
      <c r="K20" s="489"/>
      <c r="L20" s="64"/>
      <c r="M20" s="66"/>
      <c r="N20" s="66"/>
      <c r="O20" s="48"/>
      <c r="P20" s="49"/>
      <c r="Q20" s="50"/>
      <c r="R20" s="51"/>
      <c r="S20" s="51"/>
      <c r="T20" s="177" t="s">
        <v>54</v>
      </c>
      <c r="U20" s="177" t="s">
        <v>55</v>
      </c>
      <c r="V20" s="177">
        <v>5975</v>
      </c>
      <c r="W20" s="177">
        <f>470+1030</f>
        <v>1500</v>
      </c>
      <c r="X20" s="177">
        <v>6990</v>
      </c>
      <c r="Y20" s="177">
        <v>130</v>
      </c>
      <c r="Z20" s="177">
        <v>8700</v>
      </c>
      <c r="AA20" s="177">
        <f>X20+Y20+Z20</f>
        <v>15820</v>
      </c>
      <c r="AB20" s="177">
        <f>IF($Z$20+$X$20+$Y$20+24000&lt;45000,$Z$20+24000,45000-$X$20-$Y$20)</f>
        <v>32700</v>
      </c>
      <c r="AC20" s="177">
        <f>45000-$X$20-$Y$20</f>
        <v>37880</v>
      </c>
      <c r="AD20" s="56"/>
      <c r="AE20" s="52"/>
      <c r="AF20" s="52"/>
      <c r="AG20" s="52"/>
      <c r="AH20" s="52"/>
      <c r="AI20" s="52"/>
      <c r="AJ20" s="52"/>
    </row>
    <row r="21" spans="1:36" s="80" customFormat="1" ht="19.5" customHeight="1" thickBot="1">
      <c r="A21" s="466" t="s">
        <v>188</v>
      </c>
      <c r="B21" s="467"/>
      <c r="C21" s="72">
        <f>$J$35</f>
        <v>15050.555831265508</v>
      </c>
      <c r="D21" s="71" t="s">
        <v>1</v>
      </c>
      <c r="E21" s="178"/>
      <c r="F21" s="178"/>
      <c r="G21" s="179"/>
      <c r="H21" s="487"/>
      <c r="I21" s="487"/>
      <c r="J21" s="487"/>
      <c r="K21" s="490"/>
      <c r="L21" s="74"/>
      <c r="M21" s="74"/>
      <c r="N21" s="74"/>
      <c r="O21" s="75"/>
      <c r="P21" s="76"/>
      <c r="Q21" s="77"/>
      <c r="R21" s="78"/>
      <c r="S21" s="78"/>
      <c r="T21" s="180" t="s">
        <v>187</v>
      </c>
      <c r="U21" s="181" t="s">
        <v>76</v>
      </c>
      <c r="V21" s="182">
        <v>6990</v>
      </c>
      <c r="W21" s="182">
        <f>1550+270</f>
        <v>1820</v>
      </c>
      <c r="X21" s="181">
        <v>8785</v>
      </c>
      <c r="Y21" s="181">
        <v>130</v>
      </c>
      <c r="Z21" s="181">
        <v>15085</v>
      </c>
      <c r="AA21" s="181">
        <v>24000</v>
      </c>
      <c r="AB21" s="181">
        <v>39085</v>
      </c>
      <c r="AC21" s="181">
        <v>55085</v>
      </c>
      <c r="AD21" s="79"/>
      <c r="AE21" s="79"/>
      <c r="AF21" s="79"/>
      <c r="AG21" s="79"/>
      <c r="AH21" s="79"/>
      <c r="AI21" s="79"/>
      <c r="AJ21" s="79"/>
    </row>
    <row r="22" spans="1:36" s="81" customFormat="1" ht="8.25" customHeight="1" thickTop="1">
      <c r="A22" s="160"/>
      <c r="B22" s="160"/>
      <c r="C22" s="160"/>
      <c r="D22" s="160"/>
      <c r="E22" s="160"/>
      <c r="F22" s="160"/>
      <c r="G22" s="160"/>
      <c r="H22" s="183"/>
      <c r="I22" s="183"/>
      <c r="J22" s="183"/>
      <c r="K22" s="183"/>
      <c r="L22" s="82"/>
      <c r="M22" s="82"/>
      <c r="N22" s="82"/>
      <c r="O22" s="83"/>
      <c r="P22" s="84"/>
      <c r="Q22" s="85"/>
      <c r="R22" s="86"/>
      <c r="S22" s="86"/>
      <c r="T22" s="184" t="s">
        <v>42</v>
      </c>
      <c r="U22" s="185" t="s">
        <v>58</v>
      </c>
      <c r="V22" s="185">
        <v>6725</v>
      </c>
      <c r="W22" s="186">
        <f>260+650+880</f>
        <v>1790</v>
      </c>
      <c r="X22" s="186">
        <v>8780</v>
      </c>
      <c r="Y22" s="186">
        <v>130</v>
      </c>
      <c r="Z22" s="186">
        <v>14500</v>
      </c>
      <c r="AA22" s="177">
        <f>X22+Y22+Z22</f>
        <v>23410</v>
      </c>
      <c r="AB22" s="177">
        <f>IF($Z$22+$X$22+$Y$22+24000&lt;70000,$Z$22+24000,70000-$X$22-$Y$22)</f>
        <v>38500</v>
      </c>
      <c r="AC22" s="177">
        <f>70000-$X$22-$Y$22</f>
        <v>61090</v>
      </c>
      <c r="AD22" s="87"/>
      <c r="AE22" s="88"/>
      <c r="AF22" s="88"/>
      <c r="AG22" s="88"/>
      <c r="AH22" s="88"/>
      <c r="AI22" s="88"/>
      <c r="AJ22" s="88"/>
    </row>
    <row r="23" spans="1:34" s="52" customFormat="1" ht="19.5" customHeight="1" thickBot="1">
      <c r="A23" s="267"/>
      <c r="B23" s="267"/>
      <c r="C23" s="267"/>
      <c r="D23" s="268"/>
      <c r="E23" s="187"/>
      <c r="F23" s="187"/>
      <c r="G23" s="187"/>
      <c r="H23" s="73"/>
      <c r="I23" s="188"/>
      <c r="J23" s="188"/>
      <c r="K23" s="188"/>
      <c r="L23" s="64"/>
      <c r="M23" s="64"/>
      <c r="N23" s="64"/>
      <c r="O23" s="48"/>
      <c r="P23" s="49"/>
      <c r="Q23" s="50"/>
      <c r="R23" s="51"/>
      <c r="S23" s="51"/>
      <c r="T23" s="184" t="s">
        <v>61</v>
      </c>
      <c r="U23" s="185" t="s">
        <v>58</v>
      </c>
      <c r="V23" s="185">
        <v>6725</v>
      </c>
      <c r="W23" s="186">
        <f>260+650+880</f>
        <v>1790</v>
      </c>
      <c r="X23" s="186">
        <v>8930</v>
      </c>
      <c r="Y23" s="186">
        <v>130</v>
      </c>
      <c r="Z23" s="186">
        <v>14600</v>
      </c>
      <c r="AA23" s="177">
        <f>X23+Y23+Z23</f>
        <v>23660</v>
      </c>
      <c r="AB23" s="177">
        <f>IF($Z$23+$X$23+$Y$23+24000&lt;70000,$Z$23+24000,70000-$X$23-$Y$23)</f>
        <v>38600</v>
      </c>
      <c r="AC23" s="177">
        <f>70000-$X$23-$Y$23</f>
        <v>60940</v>
      </c>
      <c r="AD23" s="56"/>
      <c r="AE23" s="189">
        <f>IF($C$26&lt;&gt;"",$C$26,"")</f>
        <v>726</v>
      </c>
      <c r="AF23" s="190">
        <f aca="true" t="shared" si="0" ref="AF23:AF56">IF($D$3="","",$C$18/$D$3)</f>
        <v>819.1666666666666</v>
      </c>
      <c r="AG23" s="191" t="str">
        <f>IF(AE23&lt;&gt;"",IF(AF23&lt;AE23,CONCATENATE("Không đạt do thể tích thùng hàng / xi téc lớn hơn quy định (thể tích thùng hàng / xi téc thực tế: ",$D$3," m3 &gt; thể tích thùng hàng / xi téc tối đa cho phép: ",ROUND($C$18/AE23*100,0)/100," m3)"),CONCATENATE("Thể tích thùng hàng / xi téc thỏa mãn quy định (thể tích thùng hàng / xi téc thực tế: ",$D$3," m3 ≤ thể tích thùng hàng / xi téc tối đa cho phép: ",ROUND($C$18/AE23*100,0)/100," m3)")),"Xóa bỏ giá trị thể tích thùng hàng / xi téc tại ô D3 ở trên hoặc do Từ điển của chương trình chưa có khối lượng riêng của loại hàng hóa này. Liên hệ tác giả để bổ sung")</f>
        <v>Thể tích thùng hàng / xi téc thỏa mãn quy định (thể tích thùng hàng / xi téc thực tế: 36 m3 ≤ thể tích thùng hàng / xi téc tối đa cho phép: 40.62 m3)</v>
      </c>
      <c r="AH23" s="93" t="str">
        <f>IF(AE23&lt;&gt;"",IF(AE23&gt;AF23,"KĐ","Đ"),"")</f>
        <v>Đ</v>
      </c>
    </row>
    <row r="24" spans="1:36" s="53" customFormat="1" ht="25.5" customHeight="1" thickTop="1">
      <c r="A24" s="468" t="str">
        <f>IF($D$3="",IF($AE$23&lt;&gt;"","Đề nghị nhập số liệu thể tích thùng hàng / xi téc vào ô D3",""),$AG$23)</f>
        <v>Thể tích thùng hàng / xi téc thỏa mãn quy định (thể tích thùng hàng / xi téc thực tế: 36 m3 ≤ thể tích thùng hàng / xi téc tối đa cho phép: 40.62 m3)</v>
      </c>
      <c r="B24" s="468"/>
      <c r="C24" s="469" t="s">
        <v>189</v>
      </c>
      <c r="D24" s="268"/>
      <c r="E24" s="470" t="s">
        <v>53</v>
      </c>
      <c r="F24" s="471"/>
      <c r="G24" s="471"/>
      <c r="H24" s="471"/>
      <c r="I24" s="471"/>
      <c r="J24" s="471"/>
      <c r="K24" s="472"/>
      <c r="L24" s="64"/>
      <c r="M24" s="64"/>
      <c r="N24" s="64"/>
      <c r="O24" s="48"/>
      <c r="P24" s="49"/>
      <c r="Q24" s="50"/>
      <c r="R24" s="51"/>
      <c r="S24" s="51"/>
      <c r="T24" s="184" t="s">
        <v>65</v>
      </c>
      <c r="U24" s="185" t="s">
        <v>58</v>
      </c>
      <c r="V24" s="185">
        <v>8550</v>
      </c>
      <c r="W24" s="186">
        <v>1735</v>
      </c>
      <c r="X24" s="186">
        <v>8037</v>
      </c>
      <c r="Y24" s="186">
        <v>130</v>
      </c>
      <c r="Z24" s="186">
        <v>15200</v>
      </c>
      <c r="AA24" s="177">
        <f>X24+Y24+Z24</f>
        <v>23367</v>
      </c>
      <c r="AB24" s="177">
        <f>IF($Z$24+$X$24+$Y$24+24000&lt;45500,$Z$24+24000,45500-$X$24-$Y$24)</f>
        <v>37333</v>
      </c>
      <c r="AC24" s="177">
        <f>45500-$X$24-$Y$24</f>
        <v>37333</v>
      </c>
      <c r="AD24" s="56"/>
      <c r="AE24" s="52"/>
      <c r="AF24" s="52"/>
      <c r="AG24" s="52"/>
      <c r="AH24" s="52"/>
      <c r="AI24" s="52"/>
      <c r="AJ24" s="52"/>
    </row>
    <row r="25" spans="1:36" s="94" customFormat="1" ht="21" customHeight="1">
      <c r="A25" s="468"/>
      <c r="B25" s="468"/>
      <c r="C25" s="469"/>
      <c r="D25" s="269"/>
      <c r="E25" s="473" t="s">
        <v>56</v>
      </c>
      <c r="F25" s="474"/>
      <c r="G25" s="474"/>
      <c r="H25" s="474"/>
      <c r="I25" s="89" t="s">
        <v>57</v>
      </c>
      <c r="J25" s="475">
        <f>IF($E$7&lt;&gt;"",LEN($R$25)-LEN(SUBSTITUTE($R$25,"+",""))+1,"")</f>
        <v>2</v>
      </c>
      <c r="K25" s="476"/>
      <c r="L25" s="90"/>
      <c r="M25" s="90"/>
      <c r="N25" s="90"/>
      <c r="O25" s="192"/>
      <c r="P25" s="193"/>
      <c r="Q25" s="91"/>
      <c r="R25" s="458" t="str">
        <f>SUBSTITUTE($E$7," ","")</f>
        <v>9420+1310</v>
      </c>
      <c r="S25" s="458"/>
      <c r="T25" s="194"/>
      <c r="U25" s="194"/>
      <c r="V25" s="194"/>
      <c r="W25" s="194"/>
      <c r="X25" s="194"/>
      <c r="Y25" s="194"/>
      <c r="Z25" s="194"/>
      <c r="AA25" s="194"/>
      <c r="AB25" s="194"/>
      <c r="AC25" s="194"/>
      <c r="AD25" s="92" t="s">
        <v>59</v>
      </c>
      <c r="AE25" s="93"/>
      <c r="AF25" s="195">
        <f t="shared" si="0"/>
        <v>819.1666666666666</v>
      </c>
      <c r="AG25" s="196" t="str">
        <f>IF(AE25&lt;&gt;"",IF(AF25&lt;AE25,CONCATENATE("Không đạt do thể tích thùng hàng / xi téc lớn hơn quy định (thể tích thùng hàng / xi téc thực tế: ",$D$3," m3 &gt; thể tích thùng hàng / xi téc tối đa cho phép: ",ROUND($C$18/AE25*100,0)/100," m3)"),CONCATENATE("Thể tích thùng hàng / xi téc thỏa mãn quy định (thể tích thùng hàng / xi téc thực tế: ",$D$3," m3 ≤ thể tích thùng hàng / xi téc tối đa cho phép: ",ROUND($C$18/AE25*100,0)/100," m3)")),"Xóa bỏ giá trị thể tích thùng hàng / xi téc tại ô D3 ở trên hoặc do Từ điển của chương trình chưa có khối lượng riêng của loại hàng hóa này. Liên hệ tác giả để bổ sung")</f>
        <v>Xóa bỏ giá trị thể tích thùng hàng / xi téc tại ô D3 ở trên hoặc do Từ điển của chương trình chưa có khối lượng riêng của loại hàng hóa này. Liên hệ tác giả để bổ sung</v>
      </c>
      <c r="AH25" s="93">
        <f>IF(AE25&lt;&gt;"",IF(AE25&gt;AF25,"KĐ","Đ"),"")</f>
      </c>
      <c r="AI25" s="93"/>
      <c r="AJ25" s="93"/>
    </row>
    <row r="26" spans="1:36" s="97" customFormat="1" ht="21.75" customHeight="1">
      <c r="A26" s="468"/>
      <c r="B26" s="468"/>
      <c r="C26" s="266">
        <v>726</v>
      </c>
      <c r="D26" s="270"/>
      <c r="E26" s="459" t="s">
        <v>190</v>
      </c>
      <c r="F26" s="445"/>
      <c r="G26" s="445"/>
      <c r="H26" s="445"/>
      <c r="I26" s="98" t="s">
        <v>60</v>
      </c>
      <c r="J26" s="451">
        <f>VLOOKUP(LEN($R$25)-LEN(SUBSTITUTE($R$25,"+","")),$R$34:$S$37,2,0)</f>
        <v>10075</v>
      </c>
      <c r="K26" s="452"/>
      <c r="L26" s="197"/>
      <c r="M26" s="198"/>
      <c r="N26" s="198"/>
      <c r="O26" s="95"/>
      <c r="P26" s="199"/>
      <c r="Q26" s="200"/>
      <c r="R26" s="176">
        <v>1</v>
      </c>
      <c r="S26" s="176">
        <v>10000</v>
      </c>
      <c r="T26" s="201"/>
      <c r="U26" s="201"/>
      <c r="V26" s="201"/>
      <c r="W26" s="201"/>
      <c r="X26" s="201"/>
      <c r="Y26" s="201"/>
      <c r="Z26" s="201"/>
      <c r="AA26" s="201"/>
      <c r="AB26" s="201"/>
      <c r="AC26" s="201"/>
      <c r="AD26" s="70" t="s">
        <v>35</v>
      </c>
      <c r="AE26" s="96"/>
      <c r="AF26" s="195">
        <f t="shared" si="0"/>
        <v>819.1666666666666</v>
      </c>
      <c r="AG26" s="196" t="str">
        <f aca="true" t="shared" si="1" ref="AG26:AG56">IF(AE26&lt;&gt;"",IF(AF26&lt;AE26,CONCATENATE("Không đạt do thể tích thùng hàng / xi téc lớn hơn quy định (thể tích thùng hàng / xi téc thực tế: ",$D$3," m3 &gt; thể tích thùng hàng / xi téc tối đa cho phép: ",ROUND($C$18/AE26*100,0)/100," m3)"),CONCATENATE("Thể tích thùng hàng / xi téc thỏa mãn quy định (thể tích thùng hàng / xi téc thực tế: ",$D$3," m3 ≤ thể tích thùng hàng / xi téc tối đa cho phép: ",ROUND($C$18/AE26*100,0)/100," m3)")),"Xóa bỏ giá trị thể tích thùng hàng / xi téc tại ô D3 ở trên hoặc do Từ điển của chương trình chưa có khối lượng riêng của loại hàng hóa này. Liên hệ tác giả để bổ sung")</f>
        <v>Xóa bỏ giá trị thể tích thùng hàng / xi téc tại ô D3 ở trên hoặc do Từ điển của chương trình chưa có khối lượng riêng của loại hàng hóa này. Liên hệ tác giả để bổ sung</v>
      </c>
      <c r="AH26" s="93">
        <f aca="true" t="shared" si="2" ref="AH26:AH52">IF(AE26&lt;&gt;"",IF(AE26&gt;AF26,"KĐ","Đ"),"")</f>
      </c>
      <c r="AI26" s="96"/>
      <c r="AJ26" s="96"/>
    </row>
    <row r="27" spans="1:36" s="97" customFormat="1" ht="24.75" customHeight="1">
      <c r="A27" s="271"/>
      <c r="B27" s="271"/>
      <c r="C27" s="272"/>
      <c r="D27" s="273"/>
      <c r="E27" s="450" t="s">
        <v>62</v>
      </c>
      <c r="F27" s="445" t="s">
        <v>191</v>
      </c>
      <c r="G27" s="445"/>
      <c r="H27" s="445"/>
      <c r="I27" s="98" t="s">
        <v>63</v>
      </c>
      <c r="J27" s="448">
        <f>$G$7</f>
        <v>1030</v>
      </c>
      <c r="K27" s="449"/>
      <c r="L27" s="204"/>
      <c r="M27" s="95"/>
      <c r="N27" s="95"/>
      <c r="O27" s="95"/>
      <c r="P27" s="95"/>
      <c r="Q27" s="200"/>
      <c r="R27" s="176">
        <v>2</v>
      </c>
      <c r="S27" s="176">
        <f>IF(RIGHT($R$25,4)*1&lt;1300,16000,18000)</f>
        <v>18000</v>
      </c>
      <c r="T27" s="201"/>
      <c r="U27" s="201"/>
      <c r="V27" s="201"/>
      <c r="W27" s="201"/>
      <c r="X27" s="201"/>
      <c r="Y27" s="201"/>
      <c r="Z27" s="201"/>
      <c r="AA27" s="201"/>
      <c r="AB27" s="201"/>
      <c r="AC27" s="201"/>
      <c r="AD27" s="70" t="s">
        <v>66</v>
      </c>
      <c r="AE27" s="96"/>
      <c r="AF27" s="195">
        <f t="shared" si="0"/>
        <v>819.1666666666666</v>
      </c>
      <c r="AG27" s="196" t="str">
        <f t="shared" si="1"/>
        <v>Xóa bỏ giá trị thể tích thùng hàng / xi téc tại ô D3 ở trên hoặc do Từ điển của chương trình chưa có khối lượng riêng của loại hàng hóa này. Liên hệ tác giả để bổ sung</v>
      </c>
      <c r="AH27" s="93">
        <f t="shared" si="2"/>
      </c>
      <c r="AI27" s="96"/>
      <c r="AJ27" s="96"/>
    </row>
    <row r="28" spans="1:36" s="97" customFormat="1" ht="24.75" customHeight="1" thickBot="1">
      <c r="A28" s="94"/>
      <c r="B28" s="94"/>
      <c r="C28" s="202" t="s">
        <v>192</v>
      </c>
      <c r="D28" s="203"/>
      <c r="E28" s="450"/>
      <c r="F28" s="445" t="s">
        <v>67</v>
      </c>
      <c r="G28" s="445"/>
      <c r="H28" s="445"/>
      <c r="I28" s="98" t="s">
        <v>68</v>
      </c>
      <c r="J28" s="448">
        <f>$H$7</f>
        <v>2530</v>
      </c>
      <c r="K28" s="449"/>
      <c r="L28" s="204"/>
      <c r="M28" s="95"/>
      <c r="N28" s="95"/>
      <c r="O28" s="95"/>
      <c r="P28" s="95"/>
      <c r="Q28" s="200"/>
      <c r="R28" s="205">
        <v>3</v>
      </c>
      <c r="S28" s="205">
        <f>IF(MIN(LEFT(RIGHT($R$25,9),4)*1,RIGHT($R$25,4)*1)&gt;1300,24000,21000)</f>
        <v>24000</v>
      </c>
      <c r="T28" s="96"/>
      <c r="U28" s="96" t="str">
        <f>SUBSTITUTE($B$11," ","")</f>
        <v>6x2</v>
      </c>
      <c r="V28" s="96"/>
      <c r="W28" s="96"/>
      <c r="X28" s="96"/>
      <c r="Y28" s="96"/>
      <c r="Z28" s="96"/>
      <c r="AA28" s="96"/>
      <c r="AB28" s="96"/>
      <c r="AC28" s="96"/>
      <c r="AD28" s="92" t="s">
        <v>193</v>
      </c>
      <c r="AE28" s="96">
        <f>VLOOKUP($R$49,$S$49:$T$52,2,0)</f>
        <v>1200</v>
      </c>
      <c r="AF28" s="195">
        <f t="shared" si="0"/>
        <v>819.1666666666666</v>
      </c>
      <c r="AG28" s="196" t="str">
        <f t="shared" si="1"/>
        <v>Không đạt do thể tích thùng hàng / xi téc lớn hơn quy định (thể tích thùng hàng / xi téc thực tế: 36 m3 &gt; thể tích thùng hàng / xi téc tối đa cho phép: 24.58 m3)</v>
      </c>
      <c r="AH28" s="93" t="str">
        <f t="shared" si="2"/>
        <v>KĐ</v>
      </c>
      <c r="AI28" s="96"/>
      <c r="AJ28" s="96"/>
    </row>
    <row r="29" spans="1:36" s="97" customFormat="1" ht="24.75" customHeight="1" thickTop="1">
      <c r="A29" s="206" t="s">
        <v>194</v>
      </c>
      <c r="B29" s="207">
        <f>$J$27</f>
        <v>1030</v>
      </c>
      <c r="C29" s="208">
        <f>$B$29/$C$16</f>
        <v>0.2893258426966292</v>
      </c>
      <c r="D29" s="203"/>
      <c r="E29" s="450"/>
      <c r="F29" s="445" t="s">
        <v>69</v>
      </c>
      <c r="G29" s="445"/>
      <c r="H29" s="445"/>
      <c r="I29" s="98" t="s">
        <v>70</v>
      </c>
      <c r="J29" s="448">
        <f>$J$27+$J$28</f>
        <v>3560</v>
      </c>
      <c r="K29" s="449"/>
      <c r="L29" s="209"/>
      <c r="M29" s="210" t="s">
        <v>195</v>
      </c>
      <c r="N29" s="211"/>
      <c r="O29" s="211"/>
      <c r="P29" s="212"/>
      <c r="Q29" s="200"/>
      <c r="R29" s="205">
        <v>4</v>
      </c>
      <c r="S29" s="205">
        <f>IF(MIN(LEFT(RIGHT($R$25,14),4)*1,LEFT(RIGHT($R$25,9),4)*1,RIGHT($R$25,4)*1)&gt;1300,24000,21000)</f>
        <v>24000</v>
      </c>
      <c r="T29" s="205"/>
      <c r="U29" s="51" t="s">
        <v>55</v>
      </c>
      <c r="V29" s="51">
        <f>LEFT($U$29,1)/2</f>
        <v>2</v>
      </c>
      <c r="W29" s="61">
        <v>16000</v>
      </c>
      <c r="X29" s="61"/>
      <c r="Y29" s="59"/>
      <c r="Z29" s="61"/>
      <c r="AA29" s="61"/>
      <c r="AB29" s="61"/>
      <c r="AC29" s="61"/>
      <c r="AD29" s="70" t="s">
        <v>196</v>
      </c>
      <c r="AE29" s="213">
        <v>1390</v>
      </c>
      <c r="AF29" s="195">
        <f t="shared" si="0"/>
        <v>819.1666666666666</v>
      </c>
      <c r="AG29" s="196" t="str">
        <f t="shared" si="1"/>
        <v>Không đạt do thể tích thùng hàng / xi téc lớn hơn quy định (thể tích thùng hàng / xi téc thực tế: 36 m3 &gt; thể tích thùng hàng / xi téc tối đa cho phép: 21.22 m3)</v>
      </c>
      <c r="AH29" s="93" t="str">
        <f t="shared" si="2"/>
        <v>KĐ</v>
      </c>
      <c r="AI29" s="96"/>
      <c r="AJ29" s="96"/>
    </row>
    <row r="30" spans="1:36" s="97" customFormat="1" ht="24.75" customHeight="1">
      <c r="A30" s="214" t="s">
        <v>64</v>
      </c>
      <c r="B30" s="215">
        <f>$J$28/$J$25</f>
        <v>1265</v>
      </c>
      <c r="C30" s="216"/>
      <c r="D30" s="203"/>
      <c r="E30" s="450" t="s">
        <v>71</v>
      </c>
      <c r="F30" s="453"/>
      <c r="G30" s="453"/>
      <c r="H30" s="453"/>
      <c r="I30" s="98" t="s">
        <v>72</v>
      </c>
      <c r="J30" s="448">
        <f>$P$30</f>
        <v>30000</v>
      </c>
      <c r="K30" s="449"/>
      <c r="L30" s="197"/>
      <c r="M30" s="217">
        <f>IF($I$7&lt;&gt;"",($I$7-$J$27)*$J$26/$F$7,"")</f>
      </c>
      <c r="N30" s="218">
        <f>($J$7-$J$28)*$J$26/($J$26-$F$7)</f>
        <v>65520.86092715232</v>
      </c>
      <c r="O30" s="218">
        <f>$K$7-$J$29</f>
        <v>30000</v>
      </c>
      <c r="P30" s="219">
        <f>MIN($M$30,$N$30,$O$30)</f>
        <v>30000</v>
      </c>
      <c r="Q30" s="200"/>
      <c r="R30" s="205"/>
      <c r="S30" s="205"/>
      <c r="T30" s="205"/>
      <c r="U30" s="51" t="s">
        <v>73</v>
      </c>
      <c r="V30" s="51">
        <f>LEFT($U$30,1)/2</f>
        <v>2</v>
      </c>
      <c r="W30" s="61">
        <v>16000</v>
      </c>
      <c r="X30" s="61"/>
      <c r="Y30" s="59"/>
      <c r="Z30" s="61"/>
      <c r="AA30" s="61"/>
      <c r="AB30" s="61"/>
      <c r="AC30" s="61"/>
      <c r="AD30" s="70" t="s">
        <v>197</v>
      </c>
      <c r="AE30" s="213">
        <v>1050</v>
      </c>
      <c r="AF30" s="195">
        <f t="shared" si="0"/>
        <v>819.1666666666666</v>
      </c>
      <c r="AG30" s="196" t="str">
        <f t="shared" si="1"/>
        <v>Không đạt do thể tích thùng hàng / xi téc lớn hơn quy định (thể tích thùng hàng / xi téc thực tế: 36 m3 &gt; thể tích thùng hàng / xi téc tối đa cho phép: 28.09 m3)</v>
      </c>
      <c r="AH30" s="93" t="str">
        <f t="shared" si="2"/>
        <v>KĐ</v>
      </c>
      <c r="AI30" s="96"/>
      <c r="AJ30" s="96"/>
    </row>
    <row r="31" spans="1:36" s="97" customFormat="1" ht="24.75" customHeight="1" thickBot="1">
      <c r="A31" s="220" t="s">
        <v>198</v>
      </c>
      <c r="B31" s="221">
        <f>$J$28</f>
        <v>2530</v>
      </c>
      <c r="C31" s="222">
        <f>$B$31/$C$16</f>
        <v>0.7106741573033708</v>
      </c>
      <c r="D31" s="203"/>
      <c r="E31" s="450" t="s">
        <v>74</v>
      </c>
      <c r="F31" s="445" t="s">
        <v>191</v>
      </c>
      <c r="G31" s="445"/>
      <c r="H31" s="445"/>
      <c r="I31" s="98" t="s">
        <v>75</v>
      </c>
      <c r="J31" s="448">
        <f>$J$27+$J$30*$F$7/$J$26</f>
        <v>15293.02729528536</v>
      </c>
      <c r="K31" s="449"/>
      <c r="L31" s="204"/>
      <c r="M31" s="223" t="s">
        <v>199</v>
      </c>
      <c r="N31" s="224" t="s">
        <v>200</v>
      </c>
      <c r="O31" s="224" t="s">
        <v>201</v>
      </c>
      <c r="P31" s="456" t="s">
        <v>202</v>
      </c>
      <c r="Q31" s="225"/>
      <c r="R31" s="205"/>
      <c r="S31" s="205"/>
      <c r="T31" s="205"/>
      <c r="U31" s="51" t="s">
        <v>76</v>
      </c>
      <c r="V31" s="51">
        <f>LEFT($U$31,1)/2</f>
        <v>3</v>
      </c>
      <c r="W31" s="61">
        <v>24000</v>
      </c>
      <c r="X31" s="61"/>
      <c r="Y31" s="59"/>
      <c r="Z31" s="61"/>
      <c r="AA31" s="61"/>
      <c r="AB31" s="61"/>
      <c r="AC31" s="61"/>
      <c r="AD31" s="70" t="s">
        <v>203</v>
      </c>
      <c r="AE31" s="213">
        <v>791.3</v>
      </c>
      <c r="AF31" s="195">
        <f t="shared" si="0"/>
        <v>819.1666666666666</v>
      </c>
      <c r="AG31" s="196" t="str">
        <f t="shared" si="1"/>
        <v>Thể tích thùng hàng / xi téc thỏa mãn quy định (thể tích thùng hàng / xi téc thực tế: 36 m3 ≤ thể tích thùng hàng / xi téc tối đa cho phép: 37.27 m3)</v>
      </c>
      <c r="AH31" s="93" t="str">
        <f t="shared" si="2"/>
        <v>Đ</v>
      </c>
      <c r="AI31" s="96"/>
      <c r="AJ31" s="96"/>
    </row>
    <row r="32" spans="3:36" s="97" customFormat="1" ht="24.75" customHeight="1" thickBot="1" thickTop="1">
      <c r="C32" s="226"/>
      <c r="D32" s="203"/>
      <c r="E32" s="450"/>
      <c r="F32" s="445" t="s">
        <v>67</v>
      </c>
      <c r="G32" s="445"/>
      <c r="H32" s="445"/>
      <c r="I32" s="98" t="s">
        <v>78</v>
      </c>
      <c r="J32" s="448">
        <f>$J$28+$J$30*($J$26-$F$7)/$J$26</f>
        <v>18266.97270471464</v>
      </c>
      <c r="K32" s="449"/>
      <c r="L32" s="204"/>
      <c r="M32" s="227">
        <f>IF($I$7&lt;&gt;"",CONCATENATE("(",ROUND($I$7,0)," ","kg",")"),"")</f>
      </c>
      <c r="N32" s="228" t="str">
        <f>CONCATENATE("(",ROUND($J$7,0)," ","kg",")")</f>
        <v>(36900 kg)</v>
      </c>
      <c r="O32" s="228" t="str">
        <f>CONCATENATE("(",$K$7," ","kg",")")</f>
        <v>(33560 kg)</v>
      </c>
      <c r="P32" s="457"/>
      <c r="Q32" s="225"/>
      <c r="R32" s="205"/>
      <c r="S32" s="205"/>
      <c r="T32" s="205"/>
      <c r="U32" s="51" t="s">
        <v>58</v>
      </c>
      <c r="V32" s="51">
        <f>LEFT($U$32,1)/2</f>
        <v>3</v>
      </c>
      <c r="W32" s="61">
        <v>24000</v>
      </c>
      <c r="X32" s="61"/>
      <c r="Y32" s="59"/>
      <c r="Z32" s="61"/>
      <c r="AA32" s="61"/>
      <c r="AB32" s="61"/>
      <c r="AC32" s="61"/>
      <c r="AD32" s="70" t="s">
        <v>204</v>
      </c>
      <c r="AE32" s="213">
        <v>920.5</v>
      </c>
      <c r="AF32" s="195">
        <f t="shared" si="0"/>
        <v>819.1666666666666</v>
      </c>
      <c r="AG32" s="196" t="str">
        <f t="shared" si="1"/>
        <v>Không đạt do thể tích thùng hàng / xi téc lớn hơn quy định (thể tích thùng hàng / xi téc thực tế: 36 m3 &gt; thể tích thùng hàng / xi téc tối đa cho phép: 32.04 m3)</v>
      </c>
      <c r="AH32" s="93" t="str">
        <f t="shared" si="2"/>
        <v>KĐ</v>
      </c>
      <c r="AI32" s="96"/>
      <c r="AJ32" s="96"/>
    </row>
    <row r="33" spans="1:36" s="97" customFormat="1" ht="24.75" customHeight="1" thickTop="1">
      <c r="A33" s="206" t="s">
        <v>205</v>
      </c>
      <c r="B33" s="207">
        <f>$J$31</f>
        <v>15293.02729528536</v>
      </c>
      <c r="C33" s="229">
        <f>$B$33/$C$19</f>
        <v>0.45569211249360425</v>
      </c>
      <c r="D33" s="203"/>
      <c r="E33" s="450"/>
      <c r="F33" s="445" t="s">
        <v>69</v>
      </c>
      <c r="G33" s="445"/>
      <c r="H33" s="445"/>
      <c r="I33" s="98" t="s">
        <v>80</v>
      </c>
      <c r="J33" s="448">
        <f>$J$31+$J$32</f>
        <v>33560</v>
      </c>
      <c r="K33" s="449"/>
      <c r="L33" s="95"/>
      <c r="M33" s="99" t="s">
        <v>81</v>
      </c>
      <c r="N33" s="100"/>
      <c r="O33" s="100"/>
      <c r="P33" s="230"/>
      <c r="Q33" s="231"/>
      <c r="R33" s="205"/>
      <c r="S33" s="205"/>
      <c r="T33" s="59"/>
      <c r="U33" s="51" t="s">
        <v>82</v>
      </c>
      <c r="V33" s="51">
        <f>LEFT($U$33,1)/2</f>
        <v>3</v>
      </c>
      <c r="W33" s="61">
        <v>24000</v>
      </c>
      <c r="X33" s="61"/>
      <c r="Y33" s="59"/>
      <c r="Z33" s="61"/>
      <c r="AA33" s="61"/>
      <c r="AB33" s="61"/>
      <c r="AC33" s="61"/>
      <c r="AD33" s="70" t="s">
        <v>206</v>
      </c>
      <c r="AE33" s="96"/>
      <c r="AF33" s="195">
        <f t="shared" si="0"/>
        <v>819.1666666666666</v>
      </c>
      <c r="AG33" s="196" t="str">
        <f t="shared" si="1"/>
        <v>Xóa bỏ giá trị thể tích thùng hàng / xi téc tại ô D3 ở trên hoặc do Từ điển của chương trình chưa có khối lượng riêng của loại hàng hóa này. Liên hệ tác giả để bổ sung</v>
      </c>
      <c r="AH33" s="93">
        <f t="shared" si="2"/>
      </c>
      <c r="AI33" s="96"/>
      <c r="AJ33" s="96"/>
    </row>
    <row r="34" spans="1:36" s="97" customFormat="1" ht="24.75" customHeight="1">
      <c r="A34" s="214" t="s">
        <v>207</v>
      </c>
      <c r="B34" s="215">
        <f>$J$32/$J$25</f>
        <v>9133.48635235732</v>
      </c>
      <c r="C34" s="216"/>
      <c r="D34" s="203"/>
      <c r="E34" s="450" t="s">
        <v>83</v>
      </c>
      <c r="F34" s="453"/>
      <c r="G34" s="453"/>
      <c r="H34" s="453"/>
      <c r="I34" s="98" t="s">
        <v>84</v>
      </c>
      <c r="J34" s="448">
        <f>$P$34</f>
        <v>29490</v>
      </c>
      <c r="K34" s="449"/>
      <c r="L34" s="95"/>
      <c r="M34" s="232">
        <f>IF(($J$38-$J$27)*$J$26/$F$7&lt;$J$30,ROUNDDOWN(($J$38-$J$27)*$J$26/$F$7*2,-1)/2,$J$30)</f>
        <v>29560</v>
      </c>
      <c r="N34" s="233">
        <f>IF(($J$39-$J$28)*$J$26/($J$26-$F$7)&lt;$J$30,ROUNDDOWN(($J$39-$J$28)*$J$26/($J$26-$F$7)*2,-1)/2,$J$30)</f>
        <v>29490</v>
      </c>
      <c r="O34" s="233">
        <f>IF($J$40-$E$11-$F$11-$J$29&lt;$J$30,$J$40-$E$11-$F$11-$J$29,$J$30)</f>
        <v>30000</v>
      </c>
      <c r="P34" s="234">
        <f>MIN($M$34,$N$34,$O$34)</f>
        <v>29490</v>
      </c>
      <c r="Q34" s="231"/>
      <c r="R34" s="235">
        <v>0</v>
      </c>
      <c r="S34" s="236" t="e">
        <f>$R$25*1</f>
        <v>#VALUE!</v>
      </c>
      <c r="T34" s="59"/>
      <c r="U34" s="51" t="s">
        <v>85</v>
      </c>
      <c r="V34" s="51">
        <f>LEFT($U$34,1)/2</f>
        <v>4</v>
      </c>
      <c r="W34" s="61">
        <v>30000</v>
      </c>
      <c r="X34" s="61"/>
      <c r="Y34" s="59"/>
      <c r="Z34" s="61"/>
      <c r="AA34" s="61"/>
      <c r="AB34" s="61"/>
      <c r="AC34" s="61"/>
      <c r="AD34" s="70" t="s">
        <v>208</v>
      </c>
      <c r="AE34" s="96"/>
      <c r="AF34" s="195">
        <f t="shared" si="0"/>
        <v>819.1666666666666</v>
      </c>
      <c r="AG34" s="196" t="str">
        <f t="shared" si="1"/>
        <v>Xóa bỏ giá trị thể tích thùng hàng / xi téc tại ô D3 ở trên hoặc do Từ điển của chương trình chưa có khối lượng riêng của loại hàng hóa này. Liên hệ tác giả để bổ sung</v>
      </c>
      <c r="AH34" s="93">
        <f t="shared" si="2"/>
      </c>
      <c r="AI34" s="96"/>
      <c r="AJ34" s="96"/>
    </row>
    <row r="35" spans="1:36" s="97" customFormat="1" ht="24.75" customHeight="1" thickBot="1">
      <c r="A35" s="220" t="s">
        <v>209</v>
      </c>
      <c r="B35" s="221">
        <f>$J$32</f>
        <v>18266.97270471464</v>
      </c>
      <c r="C35" s="222">
        <f>$B$35/$C$19</f>
        <v>0.5443078875063957</v>
      </c>
      <c r="D35" s="203"/>
      <c r="E35" s="450" t="s">
        <v>87</v>
      </c>
      <c r="F35" s="445" t="s">
        <v>191</v>
      </c>
      <c r="G35" s="445"/>
      <c r="H35" s="445"/>
      <c r="I35" s="98" t="s">
        <v>88</v>
      </c>
      <c r="J35" s="446">
        <f>$J$27+$J$34*$F$7/$J$26</f>
        <v>15050.555831265508</v>
      </c>
      <c r="K35" s="447"/>
      <c r="L35" s="95"/>
      <c r="M35" s="237" t="s">
        <v>89</v>
      </c>
      <c r="N35" s="238" t="s">
        <v>90</v>
      </c>
      <c r="O35" s="238" t="s">
        <v>91</v>
      </c>
      <c r="P35" s="454" t="s">
        <v>92</v>
      </c>
      <c r="Q35" s="444"/>
      <c r="R35" s="235">
        <v>1</v>
      </c>
      <c r="S35" s="205">
        <f>IF(FIND("+",$R$25,1)=6,LEFT($R$25,5)*1+RIGHT($R$25,4)/2,LEFT($R$25,4)*1+RIGHT($R$25,4)/2)</f>
        <v>10075</v>
      </c>
      <c r="T35" s="59"/>
      <c r="U35" s="59"/>
      <c r="V35" s="59" t="s">
        <v>93</v>
      </c>
      <c r="W35" s="59" t="s">
        <v>94</v>
      </c>
      <c r="X35" s="59" t="s">
        <v>95</v>
      </c>
      <c r="Y35" s="59" t="s">
        <v>96</v>
      </c>
      <c r="Z35" s="61"/>
      <c r="AA35" s="61"/>
      <c r="AB35" s="61"/>
      <c r="AC35" s="61"/>
      <c r="AD35" s="70" t="s">
        <v>210</v>
      </c>
      <c r="AE35" s="213">
        <v>545</v>
      </c>
      <c r="AF35" s="195">
        <f t="shared" si="0"/>
        <v>819.1666666666666</v>
      </c>
      <c r="AG35" s="196" t="str">
        <f t="shared" si="1"/>
        <v>Thể tích thùng hàng / xi téc thỏa mãn quy định (thể tích thùng hàng / xi téc thực tế: 36 m3 ≤ thể tích thùng hàng / xi téc tối đa cho phép: 54.11 m3)</v>
      </c>
      <c r="AH35" s="93" t="str">
        <f t="shared" si="2"/>
        <v>Đ</v>
      </c>
      <c r="AI35" s="96"/>
      <c r="AJ35" s="96"/>
    </row>
    <row r="36" spans="1:36" s="97" customFormat="1" ht="24.75" customHeight="1" thickBot="1" thickTop="1">
      <c r="A36" s="239"/>
      <c r="B36" s="240"/>
      <c r="C36" s="226"/>
      <c r="D36" s="203"/>
      <c r="E36" s="450"/>
      <c r="F36" s="445" t="s">
        <v>67</v>
      </c>
      <c r="G36" s="445"/>
      <c r="H36" s="445"/>
      <c r="I36" s="98" t="s">
        <v>97</v>
      </c>
      <c r="J36" s="446">
        <f>$J$28+$J$34*($J$26-$F$7)/$J$26</f>
        <v>17999.44416873449</v>
      </c>
      <c r="K36" s="447"/>
      <c r="L36" s="95"/>
      <c r="M36" s="241" t="str">
        <f>CONCATENATE("(",ROUND($J$38,0)," ","kg",")")</f>
        <v>(15085 kg)</v>
      </c>
      <c r="N36" s="242" t="str">
        <f>CONCATENATE("(",ROUND($J$39,0)," ","kg",")")</f>
        <v>(18000 kg)</v>
      </c>
      <c r="O36" s="242" t="str">
        <f>CONCATENATE("(",$J$40," ","kg",")")</f>
        <v>(44000 kg)</v>
      </c>
      <c r="P36" s="454"/>
      <c r="Q36" s="444"/>
      <c r="R36" s="235">
        <v>2</v>
      </c>
      <c r="S36" s="205">
        <f>IF(FIND("+",$R$25,1)=6,LEFT($R$25,5)*1+(MID($R$25,7,4)+RIGHT($R$25,4))/2,LEFT($R$25,4)*1+(MID($R$25,6,4)+RIGHT($R$25,4))/2)</f>
        <v>10730</v>
      </c>
      <c r="T36" s="59"/>
      <c r="U36" s="101">
        <v>3</v>
      </c>
      <c r="V36" s="51">
        <f>MIN($W$36,$X$36,$Y$36)</f>
        <v>26000</v>
      </c>
      <c r="W36" s="51">
        <f aca="true" t="shared" si="3" ref="W36:W41">$H$11+24000</f>
        <v>48000</v>
      </c>
      <c r="X36" s="59">
        <f aca="true" t="shared" si="4" ref="X36:X41">$I$11+$E$11+$F$11</f>
        <v>48000</v>
      </c>
      <c r="Y36" s="59">
        <v>26000</v>
      </c>
      <c r="Z36" s="61"/>
      <c r="AA36" s="61"/>
      <c r="AB36" s="61"/>
      <c r="AC36" s="61"/>
      <c r="AD36" s="70" t="s">
        <v>211</v>
      </c>
      <c r="AE36" s="213">
        <v>860</v>
      </c>
      <c r="AF36" s="195">
        <f t="shared" si="0"/>
        <v>819.1666666666666</v>
      </c>
      <c r="AG36" s="196" t="str">
        <f t="shared" si="1"/>
        <v>Không đạt do thể tích thùng hàng / xi téc lớn hơn quy định (thể tích thùng hàng / xi téc thực tế: 36 m3 &gt; thể tích thùng hàng / xi téc tối đa cho phép: 34.29 m3)</v>
      </c>
      <c r="AH36" s="93" t="str">
        <f t="shared" si="2"/>
        <v>KĐ</v>
      </c>
      <c r="AI36" s="96"/>
      <c r="AJ36" s="96"/>
    </row>
    <row r="37" spans="1:36" s="97" customFormat="1" ht="24.75" customHeight="1" thickTop="1">
      <c r="A37" s="206" t="s">
        <v>212</v>
      </c>
      <c r="B37" s="207">
        <f>$J$35</f>
        <v>15050.555831265508</v>
      </c>
      <c r="C37" s="229">
        <f>$B$37/$C$20</f>
        <v>0.45538746841953126</v>
      </c>
      <c r="D37" s="203"/>
      <c r="E37" s="450"/>
      <c r="F37" s="445" t="s">
        <v>69</v>
      </c>
      <c r="G37" s="445"/>
      <c r="H37" s="445"/>
      <c r="I37" s="98" t="s">
        <v>99</v>
      </c>
      <c r="J37" s="448">
        <f>$J$36+$J$35</f>
        <v>33050</v>
      </c>
      <c r="K37" s="449"/>
      <c r="L37" s="95"/>
      <c r="M37" s="102" t="s">
        <v>100</v>
      </c>
      <c r="N37" s="103" t="s">
        <v>101</v>
      </c>
      <c r="O37" s="243" t="s">
        <v>102</v>
      </c>
      <c r="P37" s="454"/>
      <c r="Q37" s="444"/>
      <c r="R37" s="235">
        <v>3</v>
      </c>
      <c r="S37" s="205" t="e">
        <f>IF(FIND("+",$R$25,1)=6,LEFT($R$25,5)*1+(MID($R$25,7,4)+MID($R$25,12,4)+RIGHT($R$25,4))/2,LEFT($R$25,4)*1+(MID($R$25,6,4)+MID($R$25,11,4)+RIGHT($R$25,4))/2)</f>
        <v>#VALUE!</v>
      </c>
      <c r="T37" s="59"/>
      <c r="U37" s="101">
        <v>4</v>
      </c>
      <c r="V37" s="51">
        <f>MIN($W$37,$X$37,$Y$37)</f>
        <v>34000</v>
      </c>
      <c r="W37" s="51">
        <f t="shared" si="3"/>
        <v>48000</v>
      </c>
      <c r="X37" s="59">
        <f t="shared" si="4"/>
        <v>48000</v>
      </c>
      <c r="Y37" s="51">
        <v>34000</v>
      </c>
      <c r="Z37" s="61"/>
      <c r="AA37" s="61"/>
      <c r="AB37" s="61"/>
      <c r="AC37" s="61"/>
      <c r="AD37" s="70" t="s">
        <v>77</v>
      </c>
      <c r="AE37" s="213">
        <v>845</v>
      </c>
      <c r="AF37" s="195">
        <f t="shared" si="0"/>
        <v>819.1666666666666</v>
      </c>
      <c r="AG37" s="196" t="str">
        <f t="shared" si="1"/>
        <v>Không đạt do thể tích thùng hàng / xi téc lớn hơn quy định (thể tích thùng hàng / xi téc thực tế: 36 m3 &gt; thể tích thùng hàng / xi téc tối đa cho phép: 34.9 m3)</v>
      </c>
      <c r="AH37" s="93" t="str">
        <f t="shared" si="2"/>
        <v>KĐ</v>
      </c>
      <c r="AI37" s="96"/>
      <c r="AJ37" s="96"/>
    </row>
    <row r="38" spans="1:36" s="97" customFormat="1" ht="24.75" customHeight="1" thickBot="1">
      <c r="A38" s="214" t="s">
        <v>213</v>
      </c>
      <c r="B38" s="215">
        <f>$J$36/$J$25</f>
        <v>8999.722084367246</v>
      </c>
      <c r="C38" s="216"/>
      <c r="D38" s="244"/>
      <c r="E38" s="450" t="s">
        <v>104</v>
      </c>
      <c r="F38" s="445" t="s">
        <v>191</v>
      </c>
      <c r="G38" s="445"/>
      <c r="H38" s="445"/>
      <c r="I38" s="245" t="s">
        <v>105</v>
      </c>
      <c r="J38" s="451">
        <f>MIN($J$31,$G$11)</f>
        <v>15085</v>
      </c>
      <c r="K38" s="452"/>
      <c r="L38" s="198"/>
      <c r="M38" s="246" t="str">
        <f>CONCATENATE("(",ROUND($J$31,0)," ","kg",")")</f>
        <v>(15293 kg)</v>
      </c>
      <c r="N38" s="247" t="str">
        <f>CONCATENATE("(",ROUND($J$32,0)," ","kg",")")</f>
        <v>(18267 kg)</v>
      </c>
      <c r="O38" s="247" t="str">
        <f>IF($J$33+$E$11+$F$11&lt;$J$11+$E$11+$F$11,CONCATENATE("(",SUM($J$33,$E$11,$F$11)," ","kg",")"),CONCATENATE("(",SUM($J$11,$E$11,$F$11)," ","kg",")"))</f>
        <v>(42475 kg)</v>
      </c>
      <c r="P38" s="455"/>
      <c r="Q38" s="444"/>
      <c r="R38" s="51"/>
      <c r="S38" s="51"/>
      <c r="T38" s="101"/>
      <c r="U38" s="101">
        <v>5</v>
      </c>
      <c r="V38" s="51">
        <f>MIN($W$38,$X$38,$Y$38)</f>
        <v>44000</v>
      </c>
      <c r="W38" s="51">
        <f t="shared" si="3"/>
        <v>48000</v>
      </c>
      <c r="X38" s="59">
        <f t="shared" si="4"/>
        <v>48000</v>
      </c>
      <c r="Y38" s="51">
        <v>44000</v>
      </c>
      <c r="Z38" s="61"/>
      <c r="AA38" s="61"/>
      <c r="AB38" s="61"/>
      <c r="AC38" s="61"/>
      <c r="AD38" s="70" t="s">
        <v>214</v>
      </c>
      <c r="AE38" s="213">
        <v>807.5</v>
      </c>
      <c r="AF38" s="195">
        <f t="shared" si="0"/>
        <v>819.1666666666666</v>
      </c>
      <c r="AG38" s="196" t="str">
        <f t="shared" si="1"/>
        <v>Thể tích thùng hàng / xi téc thỏa mãn quy định (thể tích thùng hàng / xi téc thực tế: 36 m3 ≤ thể tích thùng hàng / xi téc tối đa cho phép: 36.52 m3)</v>
      </c>
      <c r="AH38" s="93" t="str">
        <f t="shared" si="2"/>
        <v>Đ</v>
      </c>
      <c r="AI38" s="96"/>
      <c r="AJ38" s="96"/>
    </row>
    <row r="39" spans="1:36" s="97" customFormat="1" ht="24.75" customHeight="1" thickBot="1" thickTop="1">
      <c r="A39" s="220" t="s">
        <v>215</v>
      </c>
      <c r="B39" s="221">
        <f>$J$36</f>
        <v>17999.44416873449</v>
      </c>
      <c r="C39" s="222">
        <f>$B$39/$C$20</f>
        <v>0.5446125315804687</v>
      </c>
      <c r="D39" s="244"/>
      <c r="E39" s="450"/>
      <c r="F39" s="453" t="s">
        <v>67</v>
      </c>
      <c r="G39" s="453"/>
      <c r="H39" s="453"/>
      <c r="I39" s="248" t="s">
        <v>107</v>
      </c>
      <c r="J39" s="451">
        <f>VLOOKUP($J$25,$R$26:$S$29,2,0)</f>
        <v>18000</v>
      </c>
      <c r="K39" s="452"/>
      <c r="L39" s="198"/>
      <c r="M39" s="198"/>
      <c r="N39" s="198"/>
      <c r="O39" s="249"/>
      <c r="P39" s="225"/>
      <c r="Q39" s="200"/>
      <c r="R39" s="51"/>
      <c r="S39" s="51"/>
      <c r="T39" s="101"/>
      <c r="U39" s="101">
        <v>6</v>
      </c>
      <c r="V39" s="51">
        <f>MIN($W$39,$X$39,$Y$39)</f>
        <v>48000</v>
      </c>
      <c r="W39" s="51">
        <f t="shared" si="3"/>
        <v>48000</v>
      </c>
      <c r="X39" s="59">
        <f t="shared" si="4"/>
        <v>48000</v>
      </c>
      <c r="Y39" s="51">
        <v>48000</v>
      </c>
      <c r="Z39" s="61"/>
      <c r="AA39" s="61"/>
      <c r="AB39" s="61"/>
      <c r="AC39" s="61"/>
      <c r="AD39" s="70" t="s">
        <v>79</v>
      </c>
      <c r="AE39" s="213">
        <v>953</v>
      </c>
      <c r="AF39" s="195">
        <f t="shared" si="0"/>
        <v>819.1666666666666</v>
      </c>
      <c r="AG39" s="196" t="str">
        <f t="shared" si="1"/>
        <v>Không đạt do thể tích thùng hàng / xi téc lớn hơn quy định (thể tích thùng hàng / xi téc thực tế: 36 m3 &gt; thể tích thùng hàng / xi téc tối đa cho phép: 30.94 m3)</v>
      </c>
      <c r="AH39" s="93" t="str">
        <f t="shared" si="2"/>
        <v>KĐ</v>
      </c>
      <c r="AI39" s="96"/>
      <c r="AJ39" s="96"/>
    </row>
    <row r="40" spans="1:36" s="97" customFormat="1" ht="27.75" customHeight="1" thickBot="1" thickTop="1">
      <c r="A40" s="239"/>
      <c r="B40" s="250"/>
      <c r="C40" s="250"/>
      <c r="D40" s="251"/>
      <c r="E40" s="435" t="s">
        <v>108</v>
      </c>
      <c r="F40" s="436"/>
      <c r="G40" s="436"/>
      <c r="H40" s="436"/>
      <c r="I40" s="104" t="s">
        <v>96</v>
      </c>
      <c r="J40" s="437">
        <f>VLOOKUP(VLOOKUP($U$28,$U$29:$V$34,2,0)+$J$25,$U$36:$V$41,2,0)</f>
        <v>44000</v>
      </c>
      <c r="K40" s="438"/>
      <c r="L40" s="105"/>
      <c r="M40" s="439" t="str">
        <f>HLOOKUP(V42,W42:Y43,2,0)</f>
        <v>Khối lượng toàn bộ CPTGGT tối đa của đoàn xe được tính toán căn cứ theo khối lượng toàn bộ CPTGGT của đoàn xe quy định tại 06/VBHN-BGTVT (44000 kg)</v>
      </c>
      <c r="N40" s="440"/>
      <c r="O40" s="105"/>
      <c r="P40" s="105"/>
      <c r="Q40" s="105"/>
      <c r="R40" s="106"/>
      <c r="S40" s="106"/>
      <c r="T40" s="101"/>
      <c r="U40" s="101">
        <v>7</v>
      </c>
      <c r="V40" s="51">
        <f>MIN($W$40,$X$40,$Y$40)</f>
        <v>48000</v>
      </c>
      <c r="W40" s="51">
        <f t="shared" si="3"/>
        <v>48000</v>
      </c>
      <c r="X40" s="59">
        <f t="shared" si="4"/>
        <v>48000</v>
      </c>
      <c r="Y40" s="51">
        <v>48000</v>
      </c>
      <c r="Z40" s="61"/>
      <c r="AA40" s="61"/>
      <c r="AB40" s="61"/>
      <c r="AC40" s="61"/>
      <c r="AD40" s="70" t="s">
        <v>216</v>
      </c>
      <c r="AE40" s="213">
        <v>808</v>
      </c>
      <c r="AF40" s="195">
        <f t="shared" si="0"/>
        <v>819.1666666666666</v>
      </c>
      <c r="AG40" s="196" t="str">
        <f t="shared" si="1"/>
        <v>Thể tích thùng hàng / xi téc thỏa mãn quy định (thể tích thùng hàng / xi téc thực tế: 36 m3 ≤ thể tích thùng hàng / xi téc tối đa cho phép: 36.5 m3)</v>
      </c>
      <c r="AH40" s="93" t="str">
        <f t="shared" si="2"/>
        <v>Đ</v>
      </c>
      <c r="AI40" s="96"/>
      <c r="AJ40" s="96"/>
    </row>
    <row r="41" spans="1:36" s="109" customFormat="1" ht="21.75" customHeight="1" thickBot="1" thickTop="1">
      <c r="A41" s="252" t="str">
        <f>CONCATENATE("(",MID($M$1,10,3),")")</f>
        <v>(2.1)</v>
      </c>
      <c r="B41" s="253"/>
      <c r="C41" s="253"/>
      <c r="D41" s="253"/>
      <c r="E41" s="254"/>
      <c r="F41" s="254"/>
      <c r="G41" s="255"/>
      <c r="H41" s="159"/>
      <c r="I41" s="256" t="s">
        <v>50</v>
      </c>
      <c r="J41" s="443">
        <f ca="1">NOW()</f>
        <v>42237.33838587963</v>
      </c>
      <c r="K41" s="443"/>
      <c r="L41" s="105"/>
      <c r="M41" s="441"/>
      <c r="N41" s="442"/>
      <c r="O41" s="257"/>
      <c r="P41" s="258"/>
      <c r="Q41" s="259"/>
      <c r="R41" s="8"/>
      <c r="S41" s="8"/>
      <c r="T41" s="107"/>
      <c r="U41" s="107">
        <v>8</v>
      </c>
      <c r="V41" s="51">
        <f>MIN($W$41,$X$41,$Y$41)</f>
        <v>48000</v>
      </c>
      <c r="W41" s="51">
        <f t="shared" si="3"/>
        <v>48000</v>
      </c>
      <c r="X41" s="59">
        <f t="shared" si="4"/>
        <v>48000</v>
      </c>
      <c r="Y41" s="51">
        <v>48000</v>
      </c>
      <c r="Z41" s="55"/>
      <c r="AA41" s="55"/>
      <c r="AB41" s="55"/>
      <c r="AC41" s="55"/>
      <c r="AD41" s="70" t="s">
        <v>86</v>
      </c>
      <c r="AE41" s="213">
        <v>1000</v>
      </c>
      <c r="AF41" s="195">
        <f t="shared" si="0"/>
        <v>819.1666666666666</v>
      </c>
      <c r="AG41" s="196" t="str">
        <f t="shared" si="1"/>
        <v>Không đạt do thể tích thùng hàng / xi téc lớn hơn quy định (thể tích thùng hàng / xi téc thực tế: 36 m3 &gt; thể tích thùng hàng / xi téc tối đa cho phép: 29.49 m3)</v>
      </c>
      <c r="AH41" s="93" t="str">
        <f t="shared" si="2"/>
        <v>KĐ</v>
      </c>
      <c r="AI41" s="108"/>
      <c r="AJ41" s="108"/>
    </row>
    <row r="42" spans="1:36" s="109" customFormat="1" ht="21.75" customHeight="1" thickTop="1">
      <c r="A42" s="160"/>
      <c r="B42" s="160"/>
      <c r="C42" s="160"/>
      <c r="D42" s="160"/>
      <c r="E42" s="160"/>
      <c r="F42" s="160"/>
      <c r="G42" s="160"/>
      <c r="H42" s="160"/>
      <c r="I42" s="160"/>
      <c r="J42" s="160"/>
      <c r="K42" s="160"/>
      <c r="L42" s="105"/>
      <c r="M42" s="105"/>
      <c r="N42" s="111"/>
      <c r="O42" s="257"/>
      <c r="P42" s="258"/>
      <c r="Q42" s="259"/>
      <c r="R42" s="55"/>
      <c r="S42" s="55"/>
      <c r="T42" s="107"/>
      <c r="U42" s="112"/>
      <c r="V42" s="51">
        <f>MIN($W$42,$X$42,$Y$42)</f>
        <v>44000</v>
      </c>
      <c r="W42" s="113">
        <f>VLOOKUP(VLOOKUP($U$28,$U$29:$V$34,2,0)+$J$25,$U$36:$Y$41,3,0)</f>
        <v>48000</v>
      </c>
      <c r="X42" s="113">
        <f>VLOOKUP(VLOOKUP($U$28,$U$29:$V$34,2,0)+$J$25,$U$36:$Y$41,4,0)</f>
        <v>48000</v>
      </c>
      <c r="Y42" s="113">
        <f>VLOOKUP(VLOOKUP($U$28,$U$29:$V$34,2,0)+$J$25,$U$36:$Y$41,5,0)</f>
        <v>44000</v>
      </c>
      <c r="Z42" s="61"/>
      <c r="AA42" s="61"/>
      <c r="AB42" s="61"/>
      <c r="AC42" s="55"/>
      <c r="AD42" s="70" t="s">
        <v>217</v>
      </c>
      <c r="AE42" s="213">
        <v>1155</v>
      </c>
      <c r="AF42" s="195">
        <f t="shared" si="0"/>
        <v>819.1666666666666</v>
      </c>
      <c r="AG42" s="196" t="str">
        <f t="shared" si="1"/>
        <v>Không đạt do thể tích thùng hàng / xi téc lớn hơn quy định (thể tích thùng hàng / xi téc thực tế: 36 m3 &gt; thể tích thùng hàng / xi téc tối đa cho phép: 25.53 m3)</v>
      </c>
      <c r="AH42" s="93" t="str">
        <f t="shared" si="2"/>
        <v>KĐ</v>
      </c>
      <c r="AI42" s="108"/>
      <c r="AJ42" s="108"/>
    </row>
    <row r="43" spans="1:36" ht="21.75" customHeight="1">
      <c r="A43" s="260"/>
      <c r="B43" s="260"/>
      <c r="C43" s="260"/>
      <c r="D43" s="260"/>
      <c r="E43" s="260"/>
      <c r="F43" s="260"/>
      <c r="G43" s="260"/>
      <c r="H43" s="260"/>
      <c r="I43" s="260"/>
      <c r="J43" s="260"/>
      <c r="K43" s="260"/>
      <c r="L43" s="110"/>
      <c r="M43" s="110"/>
      <c r="N43" s="110"/>
      <c r="O43" s="110"/>
      <c r="P43" s="110"/>
      <c r="Q43" s="110"/>
      <c r="R43" s="10"/>
      <c r="S43" s="10"/>
      <c r="T43" s="10"/>
      <c r="U43" s="10"/>
      <c r="V43" s="10"/>
      <c r="W43" s="434" t="str">
        <f>CONCATENATE("Khối lượng toàn bộ CPTGGT tối đa của đoàn xe được tính toán căn cứ theo tổng của: khối lượng toàn bộ CPTGGT của ô tô đầu kéo mẫu + tải trọng trục CPTGGT tối đa của cụm cầu sau SMRM quy định tại 06/VBHN-BGTVT (",$H$11,"+24000=",$H$11+24000," kg)")</f>
        <v>Khối lượng toàn bộ CPTGGT tối đa của đoàn xe được tính toán căn cứ theo tổng của: khối lượng toàn bộ CPTGGT của ô tô đầu kéo mẫu + tải trọng trục CPTGGT tối đa của cụm cầu sau SMRM quy định tại 06/VBHN-BGTVT (24000+24000=48000 kg)</v>
      </c>
      <c r="X43" s="434" t="str">
        <f>CONCATENATE("Khối lượng toàn bộ CPTGGT tối đa của đoàn xe được tính toán căn cứ theo tổng của: khối lượng bản thân + khối lượng người + khối lượng kéo theo CPTGGT của ô tô đầu kéo mẫu (",$E$11,"+",$F$11,"+",$I$11,"=",$E$11+$F$11+$I$11," kg)")</f>
        <v>Khối lượng toàn bộ CPTGGT tối đa của đoàn xe được tính toán căn cứ theo tổng của: khối lượng bản thân + khối lượng người + khối lượng kéo theo CPTGGT của ô tô đầu kéo mẫu (8785+130+39085=48000 kg)</v>
      </c>
      <c r="Y43" s="434" t="str">
        <f>CONCATENATE("Khối lượng toàn bộ CPTGGT tối đa của đoàn xe được tính toán căn cứ theo khối lượng toàn bộ CPTGGT của đoàn xe quy định tại 06/VBHN-BGTVT (",$Y$42," kg)")</f>
        <v>Khối lượng toàn bộ CPTGGT tối đa của đoàn xe được tính toán căn cứ theo khối lượng toàn bộ CPTGGT của đoàn xe quy định tại 06/VBHN-BGTVT (44000 kg)</v>
      </c>
      <c r="Z43" s="10"/>
      <c r="AA43" s="10"/>
      <c r="AB43" s="10"/>
      <c r="AC43" s="10"/>
      <c r="AD43" s="70" t="s">
        <v>218</v>
      </c>
      <c r="AE43" s="213">
        <v>1013.5</v>
      </c>
      <c r="AF43" s="195">
        <f t="shared" si="0"/>
        <v>819.1666666666666</v>
      </c>
      <c r="AG43" s="196" t="str">
        <f t="shared" si="1"/>
        <v>Không đạt do thể tích thùng hàng / xi téc lớn hơn quy định (thể tích thùng hàng / xi téc thực tế: 36 m3 &gt; thể tích thùng hàng / xi téc tối đa cho phép: 29.1 m3)</v>
      </c>
      <c r="AH43" s="93" t="str">
        <f t="shared" si="2"/>
        <v>KĐ</v>
      </c>
      <c r="AI43" s="10"/>
      <c r="AJ43" s="10"/>
    </row>
    <row r="44" spans="1:36" ht="21.75" customHeight="1">
      <c r="A44" s="260"/>
      <c r="B44" s="260"/>
      <c r="C44" s="260"/>
      <c r="D44" s="260"/>
      <c r="E44" s="260"/>
      <c r="F44" s="260"/>
      <c r="G44" s="260"/>
      <c r="H44" s="260"/>
      <c r="I44" s="260"/>
      <c r="J44" s="260"/>
      <c r="K44" s="260"/>
      <c r="L44" s="110"/>
      <c r="M44" s="110"/>
      <c r="N44" s="110"/>
      <c r="O44" s="110"/>
      <c r="P44" s="110"/>
      <c r="Q44" s="110"/>
      <c r="R44" s="10"/>
      <c r="S44" s="10"/>
      <c r="T44" s="10"/>
      <c r="U44" s="10"/>
      <c r="V44" s="10"/>
      <c r="W44" s="434"/>
      <c r="X44" s="434"/>
      <c r="Y44" s="434"/>
      <c r="Z44" s="96"/>
      <c r="AA44" s="96"/>
      <c r="AB44" s="96"/>
      <c r="AC44" s="10"/>
      <c r="AD44" s="70" t="s">
        <v>98</v>
      </c>
      <c r="AE44" s="213">
        <v>732</v>
      </c>
      <c r="AF44" s="195">
        <f t="shared" si="0"/>
        <v>819.1666666666666</v>
      </c>
      <c r="AG44" s="196" t="str">
        <f t="shared" si="1"/>
        <v>Thể tích thùng hàng / xi téc thỏa mãn quy định (thể tích thùng hàng / xi téc thực tế: 36 m3 ≤ thể tích thùng hàng / xi téc tối đa cho phép: 40.29 m3)</v>
      </c>
      <c r="AH44" s="93" t="str">
        <f t="shared" si="2"/>
        <v>Đ</v>
      </c>
      <c r="AI44" s="10"/>
      <c r="AJ44" s="10"/>
    </row>
    <row r="45" spans="1:36" ht="21.75" customHeight="1">
      <c r="A45" s="260"/>
      <c r="B45" s="260"/>
      <c r="C45" s="260"/>
      <c r="D45" s="260"/>
      <c r="E45" s="260"/>
      <c r="F45" s="260"/>
      <c r="G45" s="260"/>
      <c r="H45" s="260"/>
      <c r="I45" s="260"/>
      <c r="J45" s="260"/>
      <c r="K45" s="260"/>
      <c r="L45" s="110"/>
      <c r="M45" s="110"/>
      <c r="N45" s="110"/>
      <c r="O45" s="110"/>
      <c r="P45" s="110"/>
      <c r="Q45" s="110"/>
      <c r="R45" s="10"/>
      <c r="S45" s="10"/>
      <c r="T45" s="10"/>
      <c r="U45" s="10"/>
      <c r="V45" s="10"/>
      <c r="W45" s="434"/>
      <c r="X45" s="434"/>
      <c r="Y45" s="434"/>
      <c r="Z45" s="10"/>
      <c r="AA45" s="10"/>
      <c r="AB45" s="10"/>
      <c r="AC45" s="10"/>
      <c r="AD45" s="70" t="s">
        <v>180</v>
      </c>
      <c r="AE45" s="213"/>
      <c r="AF45" s="195">
        <f t="shared" si="0"/>
        <v>819.1666666666666</v>
      </c>
      <c r="AG45" s="196" t="str">
        <f t="shared" si="1"/>
        <v>Xóa bỏ giá trị thể tích thùng hàng / xi téc tại ô D3 ở trên hoặc do Từ điển của chương trình chưa có khối lượng riêng của loại hàng hóa này. Liên hệ tác giả để bổ sung</v>
      </c>
      <c r="AH45" s="93">
        <f t="shared" si="2"/>
      </c>
      <c r="AI45" s="10"/>
      <c r="AJ45" s="10"/>
    </row>
    <row r="46" spans="1:36" ht="21.75" customHeight="1">
      <c r="A46" s="260"/>
      <c r="B46" s="260"/>
      <c r="C46" s="260"/>
      <c r="D46" s="260"/>
      <c r="E46" s="260"/>
      <c r="F46" s="260"/>
      <c r="G46" s="260"/>
      <c r="H46" s="260"/>
      <c r="I46" s="260"/>
      <c r="J46" s="260"/>
      <c r="K46" s="260"/>
      <c r="L46" s="110"/>
      <c r="M46" s="110"/>
      <c r="N46" s="110"/>
      <c r="O46" s="110"/>
      <c r="P46" s="110"/>
      <c r="Q46" s="110"/>
      <c r="R46" s="10"/>
      <c r="S46" s="10"/>
      <c r="T46" s="10"/>
      <c r="U46" s="10"/>
      <c r="V46" s="10"/>
      <c r="W46" s="434"/>
      <c r="X46" s="434"/>
      <c r="Y46" s="434"/>
      <c r="Z46" s="96"/>
      <c r="AA46" s="96"/>
      <c r="AB46" s="96"/>
      <c r="AC46" s="10"/>
      <c r="AD46" s="70" t="s">
        <v>103</v>
      </c>
      <c r="AE46" s="213">
        <v>1240</v>
      </c>
      <c r="AF46" s="195">
        <f t="shared" si="0"/>
        <v>819.1666666666666</v>
      </c>
      <c r="AG46" s="196" t="str">
        <f t="shared" si="1"/>
        <v>Không đạt do thể tích thùng hàng / xi téc lớn hơn quy định (thể tích thùng hàng / xi téc thực tế: 36 m3 &gt; thể tích thùng hàng / xi téc tối đa cho phép: 23.78 m3)</v>
      </c>
      <c r="AH46" s="93" t="str">
        <f t="shared" si="2"/>
        <v>KĐ</v>
      </c>
      <c r="AI46" s="10"/>
      <c r="AJ46" s="10"/>
    </row>
    <row r="47" spans="1:36" ht="21.75" customHeight="1">
      <c r="A47" s="260"/>
      <c r="B47" s="260"/>
      <c r="C47" s="260"/>
      <c r="D47" s="260"/>
      <c r="E47" s="260"/>
      <c r="F47" s="260"/>
      <c r="G47" s="260"/>
      <c r="H47" s="260"/>
      <c r="I47" s="260"/>
      <c r="J47" s="260"/>
      <c r="K47" s="260"/>
      <c r="L47" s="110"/>
      <c r="M47" s="110"/>
      <c r="N47" s="110"/>
      <c r="O47" s="110"/>
      <c r="P47" s="110"/>
      <c r="Q47" s="110"/>
      <c r="R47" s="10"/>
      <c r="S47" s="10"/>
      <c r="T47" s="10"/>
      <c r="U47" s="10"/>
      <c r="V47" s="10"/>
      <c r="W47" s="434"/>
      <c r="X47" s="434"/>
      <c r="Y47" s="434"/>
      <c r="Z47" s="10"/>
      <c r="AA47" s="10"/>
      <c r="AB47" s="10"/>
      <c r="AC47" s="10"/>
      <c r="AD47" s="70" t="s">
        <v>106</v>
      </c>
      <c r="AE47" s="96"/>
      <c r="AF47" s="195">
        <f t="shared" si="0"/>
        <v>819.1666666666666</v>
      </c>
      <c r="AG47" s="196" t="str">
        <f t="shared" si="1"/>
        <v>Xóa bỏ giá trị thể tích thùng hàng / xi téc tại ô D3 ở trên hoặc do Từ điển của chương trình chưa có khối lượng riêng của loại hàng hóa này. Liên hệ tác giả để bổ sung</v>
      </c>
      <c r="AH47" s="93">
        <f t="shared" si="2"/>
      </c>
      <c r="AI47" s="10"/>
      <c r="AJ47" s="10"/>
    </row>
    <row r="48" spans="30:36" ht="22.5" customHeight="1">
      <c r="AD48" s="10"/>
      <c r="AE48" s="10"/>
      <c r="AF48" s="195">
        <f t="shared" si="0"/>
        <v>819.1666666666666</v>
      </c>
      <c r="AG48" s="196" t="str">
        <f t="shared" si="1"/>
        <v>Xóa bỏ giá trị thể tích thùng hàng / xi téc tại ô D3 ở trên hoặc do Từ điển của chương trình chưa có khối lượng riêng của loại hàng hóa này. Liên hệ tác giả để bổ sung</v>
      </c>
      <c r="AH48" s="93">
        <f t="shared" si="2"/>
      </c>
      <c r="AI48" s="10"/>
      <c r="AJ48" s="10"/>
    </row>
    <row r="49" spans="18:34" ht="22.5" customHeight="1">
      <c r="R49" s="11">
        <f>$J$25</f>
        <v>2</v>
      </c>
      <c r="S49" s="11">
        <v>1</v>
      </c>
      <c r="T49" s="11">
        <v>1200</v>
      </c>
      <c r="AF49" s="195">
        <f t="shared" si="0"/>
        <v>819.1666666666666</v>
      </c>
      <c r="AG49" s="196" t="str">
        <f t="shared" si="1"/>
        <v>Xóa bỏ giá trị thể tích thùng hàng / xi téc tại ô D3 ở trên hoặc do Từ điển của chương trình chưa có khối lượng riêng của loại hàng hóa này. Liên hệ tác giả để bổ sung</v>
      </c>
      <c r="AH49" s="93">
        <f t="shared" si="2"/>
      </c>
    </row>
    <row r="50" spans="19:34" ht="22.5" customHeight="1">
      <c r="S50" s="11">
        <v>2</v>
      </c>
      <c r="T50" s="11">
        <f>IF($J$37&lt;5000,800,1200)</f>
        <v>1200</v>
      </c>
      <c r="AF50" s="195">
        <f t="shared" si="0"/>
        <v>819.1666666666666</v>
      </c>
      <c r="AG50" s="196" t="str">
        <f t="shared" si="1"/>
        <v>Xóa bỏ giá trị thể tích thùng hàng / xi téc tại ô D3 ở trên hoặc do Từ điển của chương trình chưa có khối lượng riêng của loại hàng hóa này. Liên hệ tác giả để bổ sung</v>
      </c>
      <c r="AH50" s="93">
        <f t="shared" si="2"/>
      </c>
    </row>
    <row r="51" spans="19:34" ht="22.5" customHeight="1">
      <c r="S51" s="11">
        <v>3</v>
      </c>
      <c r="T51" s="11">
        <v>1200</v>
      </c>
      <c r="AF51" s="195">
        <f t="shared" si="0"/>
        <v>819.1666666666666</v>
      </c>
      <c r="AG51" s="196" t="str">
        <f t="shared" si="1"/>
        <v>Xóa bỏ giá trị thể tích thùng hàng / xi téc tại ô D3 ở trên hoặc do Từ điển của chương trình chưa có khối lượng riêng của loại hàng hóa này. Liên hệ tác giả để bổ sung</v>
      </c>
      <c r="AH51" s="93">
        <f t="shared" si="2"/>
      </c>
    </row>
    <row r="52" spans="19:34" ht="22.5" customHeight="1">
      <c r="S52" s="11">
        <v>4</v>
      </c>
      <c r="T52" s="11">
        <v>1500</v>
      </c>
      <c r="AF52" s="195">
        <f t="shared" si="0"/>
        <v>819.1666666666666</v>
      </c>
      <c r="AG52" s="196" t="str">
        <f t="shared" si="1"/>
        <v>Xóa bỏ giá trị thể tích thùng hàng / xi téc tại ô D3 ở trên hoặc do Từ điển của chương trình chưa có khối lượng riêng của loại hàng hóa này. Liên hệ tác giả để bổ sung</v>
      </c>
      <c r="AH52" s="93">
        <f t="shared" si="2"/>
      </c>
    </row>
    <row r="53" spans="32:34" ht="22.5" customHeight="1">
      <c r="AF53" s="195">
        <f t="shared" si="0"/>
        <v>819.1666666666666</v>
      </c>
      <c r="AG53" s="196" t="str">
        <f t="shared" si="1"/>
        <v>Xóa bỏ giá trị thể tích thùng hàng / xi téc tại ô D3 ở trên hoặc do Từ điển của chương trình chưa có khối lượng riêng của loại hàng hóa này. Liên hệ tác giả để bổ sung</v>
      </c>
      <c r="AH53" s="93">
        <f>IF(AE53&lt;&gt;"",IF(AE53&gt;AF53,"KĐ","Đ"),"")</f>
      </c>
    </row>
    <row r="54" spans="32:34" ht="22.5" customHeight="1">
      <c r="AF54" s="195">
        <f t="shared" si="0"/>
        <v>819.1666666666666</v>
      </c>
      <c r="AG54" s="196" t="str">
        <f t="shared" si="1"/>
        <v>Xóa bỏ giá trị thể tích thùng hàng / xi téc tại ô D3 ở trên hoặc do Từ điển của chương trình chưa có khối lượng riêng của loại hàng hóa này. Liên hệ tác giả để bổ sung</v>
      </c>
      <c r="AH54" s="93">
        <f>IF(AE54&lt;&gt;"",IF(AE54&gt;AF54,"KĐ","Đ"),"")</f>
      </c>
    </row>
    <row r="55" spans="32:34" ht="22.5" customHeight="1">
      <c r="AF55" s="195">
        <f t="shared" si="0"/>
        <v>819.1666666666666</v>
      </c>
      <c r="AG55" s="196" t="str">
        <f t="shared" si="1"/>
        <v>Xóa bỏ giá trị thể tích thùng hàng / xi téc tại ô D3 ở trên hoặc do Từ điển của chương trình chưa có khối lượng riêng của loại hàng hóa này. Liên hệ tác giả để bổ sung</v>
      </c>
      <c r="AH55" s="93">
        <f>IF(AE55&lt;&gt;"",IF(AE55&gt;AF55,"KĐ","Đ"),"")</f>
      </c>
    </row>
    <row r="56" spans="32:34" ht="15.75" customHeight="1">
      <c r="AF56" s="195">
        <f t="shared" si="0"/>
        <v>819.1666666666666</v>
      </c>
      <c r="AG56" s="196" t="str">
        <f t="shared" si="1"/>
        <v>Xóa bỏ giá trị thể tích thùng hàng / xi téc tại ô D3 ở trên hoặc do Từ điển của chương trình chưa có khối lượng riêng của loại hàng hóa này. Liên hệ tác giả để bổ sung</v>
      </c>
      <c r="AH56" s="93">
        <f>IF(AE56&lt;&gt;"",IF(AE56&gt;AF56,"KĐ","Đ"),"")</f>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
    <row r="69" ht="15"/>
    <row r="70" ht="15"/>
  </sheetData>
  <sheetProtection password="DFA2" sheet="1" selectLockedCells="1"/>
  <mergeCells count="87">
    <mergeCell ref="A1:K1"/>
    <mergeCell ref="B2:C2"/>
    <mergeCell ref="E2:F2"/>
    <mergeCell ref="G2:I2"/>
    <mergeCell ref="J2:K2"/>
    <mergeCell ref="B3:C3"/>
    <mergeCell ref="G3:I3"/>
    <mergeCell ref="J3:K3"/>
    <mergeCell ref="A4:K4"/>
    <mergeCell ref="A5:A6"/>
    <mergeCell ref="B5:B6"/>
    <mergeCell ref="C5:C6"/>
    <mergeCell ref="D5:D6"/>
    <mergeCell ref="E5:E6"/>
    <mergeCell ref="F5:F6"/>
    <mergeCell ref="G5:H5"/>
    <mergeCell ref="I5:I6"/>
    <mergeCell ref="J5:J6"/>
    <mergeCell ref="K5:K6"/>
    <mergeCell ref="A8:I8"/>
    <mergeCell ref="A9:K9"/>
    <mergeCell ref="A12:K12"/>
    <mergeCell ref="A13:K13"/>
    <mergeCell ref="A14:K14"/>
    <mergeCell ref="A15:G15"/>
    <mergeCell ref="H15:I15"/>
    <mergeCell ref="J15:K15"/>
    <mergeCell ref="A16:B16"/>
    <mergeCell ref="E16:G17"/>
    <mergeCell ref="H16:I16"/>
    <mergeCell ref="J16:K16"/>
    <mergeCell ref="A17:B17"/>
    <mergeCell ref="H17:I21"/>
    <mergeCell ref="J17:K21"/>
    <mergeCell ref="A18:B18"/>
    <mergeCell ref="E18:G20"/>
    <mergeCell ref="A19:B19"/>
    <mergeCell ref="A20:B20"/>
    <mergeCell ref="A21:B21"/>
    <mergeCell ref="A24:B26"/>
    <mergeCell ref="C24:C25"/>
    <mergeCell ref="E24:K24"/>
    <mergeCell ref="E25:H25"/>
    <mergeCell ref="J25:K25"/>
    <mergeCell ref="R25:S25"/>
    <mergeCell ref="E26:H26"/>
    <mergeCell ref="J26:K26"/>
    <mergeCell ref="E27:E29"/>
    <mergeCell ref="F27:H27"/>
    <mergeCell ref="J27:K27"/>
    <mergeCell ref="F28:H28"/>
    <mergeCell ref="J28:K28"/>
    <mergeCell ref="F29:H29"/>
    <mergeCell ref="J29:K29"/>
    <mergeCell ref="E30:H30"/>
    <mergeCell ref="J30:K30"/>
    <mergeCell ref="E31:E33"/>
    <mergeCell ref="F31:H31"/>
    <mergeCell ref="J31:K31"/>
    <mergeCell ref="P31:P32"/>
    <mergeCell ref="F32:H32"/>
    <mergeCell ref="J32:K32"/>
    <mergeCell ref="F33:H33"/>
    <mergeCell ref="J33:K33"/>
    <mergeCell ref="E34:H34"/>
    <mergeCell ref="J34:K34"/>
    <mergeCell ref="E35:E37"/>
    <mergeCell ref="F35:H35"/>
    <mergeCell ref="J35:K35"/>
    <mergeCell ref="P35:P38"/>
    <mergeCell ref="Q35:Q38"/>
    <mergeCell ref="F36:H36"/>
    <mergeCell ref="J36:K36"/>
    <mergeCell ref="F37:H37"/>
    <mergeCell ref="J37:K37"/>
    <mergeCell ref="E38:E39"/>
    <mergeCell ref="F38:H38"/>
    <mergeCell ref="J38:K38"/>
    <mergeCell ref="F39:H39"/>
    <mergeCell ref="J39:K39"/>
    <mergeCell ref="Y43:Y47"/>
    <mergeCell ref="E40:H40"/>
    <mergeCell ref="J40:K40"/>
    <mergeCell ref="M40:N41"/>
    <mergeCell ref="J41:K41"/>
    <mergeCell ref="W43:W47"/>
    <mergeCell ref="X43:X47"/>
  </mergeCells>
  <conditionalFormatting sqref="M40:N41">
    <cfRule type="expression" priority="8" dxfId="4" stopIfTrue="1">
      <formula>IF($M$40&lt;&gt;"",1,0)</formula>
    </cfRule>
  </conditionalFormatting>
  <conditionalFormatting sqref="A12:I12">
    <cfRule type="expression" priority="7" dxfId="0" stopIfTrue="1">
      <formula>IF($A$12&lt;&gt;"",1,0)</formula>
    </cfRule>
  </conditionalFormatting>
  <conditionalFormatting sqref="A14:I14">
    <cfRule type="expression" priority="6" dxfId="2" stopIfTrue="1">
      <formula>IF($A$14&lt;&gt;"",1,0)</formula>
    </cfRule>
  </conditionalFormatting>
  <conditionalFormatting sqref="A13:I13">
    <cfRule type="expression" priority="5" dxfId="1" stopIfTrue="1">
      <formula>IF($I$11=$J$37,1,0)</formula>
    </cfRule>
  </conditionalFormatting>
  <conditionalFormatting sqref="A11">
    <cfRule type="expression" priority="4" dxfId="0" stopIfTrue="1">
      <formula>IF($C$11-$D$11+$C$7-$D$7&gt;20000,1,0)</formula>
    </cfRule>
  </conditionalFormatting>
  <dataValidations count="1">
    <dataValidation type="list" showInputMessage="1" showErrorMessage="1" sqref="A11">
      <formula1>$T$20:$T$27</formula1>
    </dataValidation>
  </dataValidations>
  <printOptions/>
  <pageMargins left="0.41" right="0.34" top="0.44" bottom="0.24" header="0.37" footer="0.18"/>
  <pageSetup horizontalDpi="600" verticalDpi="600" orientation="portrait" paperSize="9" scale="5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zoomScalePageLayoutView="0" workbookViewId="0" topLeftCell="A1">
      <selection activeCell="G4" sqref="G4"/>
    </sheetView>
  </sheetViews>
  <sheetFormatPr defaultColWidth="0" defaultRowHeight="12.75" zeroHeight="1"/>
  <cols>
    <col min="1" max="1" width="6.00390625" style="119" customWidth="1"/>
    <col min="2" max="8" width="9.140625" style="119" customWidth="1"/>
    <col min="9" max="9" width="9.7109375" style="119" customWidth="1"/>
    <col min="10" max="14" width="9.140625" style="119" customWidth="1"/>
    <col min="15" max="16384" width="0" style="119" hidden="1" customWidth="1"/>
  </cols>
  <sheetData>
    <row r="1" spans="1:2" ht="25.5" customHeight="1">
      <c r="A1" s="145" t="s">
        <v>146</v>
      </c>
      <c r="B1" s="144"/>
    </row>
    <row r="2" spans="2:13" ht="24" customHeight="1">
      <c r="B2" s="534" t="s">
        <v>145</v>
      </c>
      <c r="C2" s="534"/>
      <c r="D2" s="534"/>
      <c r="E2" s="534"/>
      <c r="F2" s="534"/>
      <c r="G2" s="534"/>
      <c r="H2" s="534"/>
      <c r="I2" s="534"/>
      <c r="J2" s="534"/>
      <c r="K2" s="534"/>
      <c r="L2" s="534"/>
      <c r="M2" s="534"/>
    </row>
    <row r="3" spans="2:13" ht="15.75" customHeight="1">
      <c r="B3" s="545" t="s">
        <v>127</v>
      </c>
      <c r="C3" s="545"/>
      <c r="D3" s="545"/>
      <c r="E3" s="545"/>
      <c r="F3" s="547" t="str">
        <f>'Tính toán ĐC SMRM - Sơ bộ'!E4</f>
        <v>29H-XXXX</v>
      </c>
      <c r="G3" s="547"/>
      <c r="H3" s="545" t="str">
        <f>'Tính toán ĐC SMRM - Sơ bộ'!$G$4</f>
        <v>Số khung: </v>
      </c>
      <c r="I3" s="545"/>
      <c r="J3" s="546" t="str">
        <f>'Tính toán ĐC SMRM - Sơ bộ'!H4</f>
        <v>LGA…</v>
      </c>
      <c r="K3" s="546"/>
      <c r="L3" s="546"/>
      <c r="M3" s="546"/>
    </row>
    <row r="4" spans="2:13" ht="12.75">
      <c r="B4" s="120"/>
      <c r="C4" s="121"/>
      <c r="D4" s="121"/>
      <c r="E4" s="121"/>
      <c r="F4" s="121"/>
      <c r="G4" s="121"/>
      <c r="H4" s="122"/>
      <c r="I4" s="122"/>
      <c r="J4" s="122"/>
      <c r="K4" s="122"/>
      <c r="L4" s="122"/>
      <c r="M4" s="122"/>
    </row>
    <row r="5" ht="12.75">
      <c r="E5" s="123">
        <f>'Tính toán ĐC SMRM - Sơ bộ'!$F$9+'Tính toán ĐC SMRM - Sơ bộ'!M9+'Tính toán ĐC SMRM - Sơ bộ'!N9</f>
        <v>12700</v>
      </c>
    </row>
    <row r="6" spans="10:13" ht="12.75">
      <c r="J6" s="532"/>
      <c r="K6" s="532"/>
      <c r="L6" s="532"/>
      <c r="M6" s="532"/>
    </row>
    <row r="7" ht="12.75">
      <c r="F7" s="124" t="s">
        <v>120</v>
      </c>
    </row>
    <row r="8" ht="12.75">
      <c r="F8" s="123">
        <f>'Tính toán ĐC SMRM - Sơ bộ'!$D$29</f>
        <v>4790</v>
      </c>
    </row>
    <row r="9" ht="12.75"/>
    <row r="10" spans="10:13" ht="12.75">
      <c r="J10" s="533" t="s">
        <v>121</v>
      </c>
      <c r="K10" s="533"/>
      <c r="L10" s="533"/>
      <c r="M10" s="533"/>
    </row>
    <row r="11" spans="10:13" ht="12.75">
      <c r="J11" s="548"/>
      <c r="K11" s="548"/>
      <c r="L11" s="548"/>
      <c r="M11" s="548"/>
    </row>
    <row r="12" spans="10:13" ht="12.75">
      <c r="J12" s="542" t="s">
        <v>122</v>
      </c>
      <c r="K12" s="543"/>
      <c r="L12" s="536" t="str">
        <f>CONCATENATE(E5," x          "," x")</f>
        <v>12700 x           x</v>
      </c>
      <c r="M12" s="537"/>
    </row>
    <row r="13" spans="10:13" ht="12.75">
      <c r="J13" s="542" t="s">
        <v>32</v>
      </c>
      <c r="K13" s="543"/>
      <c r="L13" s="549" t="str">
        <f>'Tính toán ĐC SMRM - Sơ bộ'!C30</f>
        <v>9420 + 1310</v>
      </c>
      <c r="M13" s="533"/>
    </row>
    <row r="14" spans="10:13" ht="12.75">
      <c r="J14" s="542" t="s">
        <v>129</v>
      </c>
      <c r="K14" s="543"/>
      <c r="L14" s="544"/>
      <c r="M14" s="544"/>
    </row>
    <row r="15" spans="10:13" ht="12.75">
      <c r="J15" s="542" t="s">
        <v>0</v>
      </c>
      <c r="K15" s="543"/>
      <c r="L15" s="125">
        <f>'Tính toán Kiểm tra chi tiết'!C16</f>
        <v>3560</v>
      </c>
      <c r="M15" s="126" t="s">
        <v>1</v>
      </c>
    </row>
    <row r="16" spans="10:13" ht="60">
      <c r="J16" s="535" t="s">
        <v>123</v>
      </c>
      <c r="K16" s="535"/>
      <c r="L16" s="538">
        <f>'Tính toán Kiểm tra chi tiết'!C17</f>
        <v>30000</v>
      </c>
      <c r="M16" s="540" t="s">
        <v>1</v>
      </c>
    </row>
    <row r="17" spans="10:13" ht="12.75" customHeight="1">
      <c r="J17" s="535"/>
      <c r="K17" s="535"/>
      <c r="L17" s="539"/>
      <c r="M17" s="541"/>
    </row>
    <row r="18" spans="10:13" ht="60">
      <c r="J18" s="535" t="s">
        <v>124</v>
      </c>
      <c r="K18" s="535"/>
      <c r="L18" s="538">
        <f>'Tính toán Kiểm tra chi tiết'!C18</f>
        <v>29490</v>
      </c>
      <c r="M18" s="540" t="s">
        <v>1</v>
      </c>
    </row>
    <row r="19" spans="10:13" ht="12.75">
      <c r="J19" s="535"/>
      <c r="K19" s="535"/>
      <c r="L19" s="539"/>
      <c r="M19" s="541"/>
    </row>
    <row r="20" spans="10:13" ht="36">
      <c r="J20" s="535" t="s">
        <v>125</v>
      </c>
      <c r="K20" s="535"/>
      <c r="L20" s="538">
        <f>'Tính toán Kiểm tra chi tiết'!C19</f>
        <v>33560</v>
      </c>
      <c r="M20" s="540" t="s">
        <v>1</v>
      </c>
    </row>
    <row r="21" spans="10:13" ht="12.75">
      <c r="J21" s="535"/>
      <c r="K21" s="535"/>
      <c r="L21" s="539"/>
      <c r="M21" s="541"/>
    </row>
    <row r="22" spans="1:13" ht="36">
      <c r="A22" s="156">
        <f>'Tính toán ĐC SMRM - Sơ bộ'!M9</f>
        <v>150</v>
      </c>
      <c r="B22" s="127" t="str">
        <f>CONCATENATE(" ",'Tính toán ĐC SMRM - Sơ bộ'!$E$29)</f>
        <v> 900</v>
      </c>
      <c r="D22" s="123">
        <f>'Tính toán ĐC SMRM - Sơ bộ'!I38</f>
        <v>9420</v>
      </c>
      <c r="G22" s="148">
        <f>'Tính toán ĐC SMRM - Sơ bộ'!J38</f>
        <v>1310</v>
      </c>
      <c r="H22" s="148">
        <f>'Tính toán ĐC SMRM - Sơ bộ'!K38</f>
      </c>
      <c r="I22" s="157">
        <f>'Tính toán ĐC SMRM - Sơ bộ'!N9</f>
        <v>150</v>
      </c>
      <c r="J22" s="535" t="s">
        <v>39</v>
      </c>
      <c r="K22" s="535"/>
      <c r="L22" s="538">
        <f>'Tính toán Kiểm tra chi tiết'!C20</f>
        <v>33050</v>
      </c>
      <c r="M22" s="540" t="s">
        <v>1</v>
      </c>
    </row>
    <row r="23" spans="10:13" ht="12.75">
      <c r="J23" s="535"/>
      <c r="K23" s="535"/>
      <c r="L23" s="539"/>
      <c r="M23" s="541"/>
    </row>
    <row r="24" spans="4:8" ht="12.75" customHeight="1">
      <c r="D24" s="123"/>
      <c r="H24" s="123">
        <f>'Tính toán ĐC SMRM - Sơ bộ'!$F$29</f>
        <v>1425</v>
      </c>
    </row>
    <row r="25" ht="12.75"/>
    <row r="26" ht="12.75"/>
    <row r="27" spans="2:13" ht="12.75" customHeight="1">
      <c r="B27" s="523" t="s">
        <v>153</v>
      </c>
      <c r="C27" s="524"/>
      <c r="D27" s="524"/>
      <c r="E27" s="524"/>
      <c r="F27" s="524"/>
      <c r="G27" s="525"/>
      <c r="H27" s="523" t="s">
        <v>154</v>
      </c>
      <c r="I27" s="524"/>
      <c r="J27" s="524"/>
      <c r="K27" s="524"/>
      <c r="L27" s="524"/>
      <c r="M27" s="525"/>
    </row>
    <row r="28" spans="2:13" ht="12.75">
      <c r="B28" s="526"/>
      <c r="C28" s="527"/>
      <c r="D28" s="527"/>
      <c r="E28" s="527"/>
      <c r="F28" s="527"/>
      <c r="G28" s="528"/>
      <c r="H28" s="526"/>
      <c r="I28" s="527"/>
      <c r="J28" s="527"/>
      <c r="K28" s="527"/>
      <c r="L28" s="527"/>
      <c r="M28" s="528"/>
    </row>
    <row r="29" spans="2:13" ht="12.75">
      <c r="B29" s="526"/>
      <c r="C29" s="527"/>
      <c r="D29" s="527"/>
      <c r="E29" s="527"/>
      <c r="F29" s="527"/>
      <c r="G29" s="528"/>
      <c r="H29" s="526"/>
      <c r="I29" s="527"/>
      <c r="J29" s="527"/>
      <c r="K29" s="527"/>
      <c r="L29" s="527"/>
      <c r="M29" s="528"/>
    </row>
    <row r="30" spans="2:13" ht="12.75">
      <c r="B30" s="526"/>
      <c r="C30" s="527"/>
      <c r="D30" s="527"/>
      <c r="E30" s="527"/>
      <c r="F30" s="527"/>
      <c r="G30" s="528"/>
      <c r="H30" s="526"/>
      <c r="I30" s="527"/>
      <c r="J30" s="527"/>
      <c r="K30" s="527"/>
      <c r="L30" s="527"/>
      <c r="M30" s="528"/>
    </row>
    <row r="31" spans="2:13" ht="12.75">
      <c r="B31" s="526"/>
      <c r="C31" s="527"/>
      <c r="D31" s="527"/>
      <c r="E31" s="527"/>
      <c r="F31" s="527"/>
      <c r="G31" s="528"/>
      <c r="H31" s="526"/>
      <c r="I31" s="527"/>
      <c r="J31" s="527"/>
      <c r="K31" s="527"/>
      <c r="L31" s="527"/>
      <c r="M31" s="528"/>
    </row>
    <row r="32" spans="2:13" ht="12.75">
      <c r="B32" s="526"/>
      <c r="C32" s="527"/>
      <c r="D32" s="527"/>
      <c r="E32" s="527"/>
      <c r="F32" s="527"/>
      <c r="G32" s="528"/>
      <c r="H32" s="526"/>
      <c r="I32" s="527"/>
      <c r="J32" s="527"/>
      <c r="K32" s="527"/>
      <c r="L32" s="527"/>
      <c r="M32" s="528"/>
    </row>
    <row r="33" spans="2:13" ht="12.75">
      <c r="B33" s="526"/>
      <c r="C33" s="527"/>
      <c r="D33" s="527"/>
      <c r="E33" s="527"/>
      <c r="F33" s="527"/>
      <c r="G33" s="528"/>
      <c r="H33" s="526"/>
      <c r="I33" s="527"/>
      <c r="J33" s="527"/>
      <c r="K33" s="527"/>
      <c r="L33" s="527"/>
      <c r="M33" s="528"/>
    </row>
    <row r="34" spans="2:13" ht="12.75">
      <c r="B34" s="526"/>
      <c r="C34" s="527"/>
      <c r="D34" s="527"/>
      <c r="E34" s="527"/>
      <c r="F34" s="527"/>
      <c r="G34" s="528"/>
      <c r="H34" s="526"/>
      <c r="I34" s="527"/>
      <c r="J34" s="527"/>
      <c r="K34" s="527"/>
      <c r="L34" s="527"/>
      <c r="M34" s="528"/>
    </row>
    <row r="35" spans="2:13" ht="12.75">
      <c r="B35" s="526"/>
      <c r="C35" s="527"/>
      <c r="D35" s="527"/>
      <c r="E35" s="527"/>
      <c r="F35" s="527"/>
      <c r="G35" s="528"/>
      <c r="H35" s="526"/>
      <c r="I35" s="527"/>
      <c r="J35" s="527"/>
      <c r="K35" s="527"/>
      <c r="L35" s="527"/>
      <c r="M35" s="528"/>
    </row>
    <row r="36" spans="2:13" ht="12.75">
      <c r="B36" s="526"/>
      <c r="C36" s="527"/>
      <c r="D36" s="527"/>
      <c r="E36" s="527"/>
      <c r="F36" s="527"/>
      <c r="G36" s="528"/>
      <c r="H36" s="526"/>
      <c r="I36" s="527"/>
      <c r="J36" s="527"/>
      <c r="K36" s="527"/>
      <c r="L36" s="527"/>
      <c r="M36" s="528"/>
    </row>
    <row r="37" spans="2:13" ht="12.75">
      <c r="B37" s="526"/>
      <c r="C37" s="527"/>
      <c r="D37" s="527"/>
      <c r="E37" s="527"/>
      <c r="F37" s="527"/>
      <c r="G37" s="528"/>
      <c r="H37" s="526"/>
      <c r="I37" s="527"/>
      <c r="J37" s="527"/>
      <c r="K37" s="527"/>
      <c r="L37" s="527"/>
      <c r="M37" s="528"/>
    </row>
    <row r="38" spans="2:13" ht="12.75">
      <c r="B38" s="526"/>
      <c r="C38" s="527"/>
      <c r="D38" s="527"/>
      <c r="E38" s="527"/>
      <c r="F38" s="527"/>
      <c r="G38" s="528"/>
      <c r="H38" s="526"/>
      <c r="I38" s="527"/>
      <c r="J38" s="527"/>
      <c r="K38" s="527"/>
      <c r="L38" s="527"/>
      <c r="M38" s="528"/>
    </row>
    <row r="39" spans="2:13" ht="12.75">
      <c r="B39" s="526"/>
      <c r="C39" s="527"/>
      <c r="D39" s="527"/>
      <c r="E39" s="527"/>
      <c r="F39" s="527"/>
      <c r="G39" s="528"/>
      <c r="H39" s="526"/>
      <c r="I39" s="527"/>
      <c r="J39" s="527"/>
      <c r="K39" s="527"/>
      <c r="L39" s="527"/>
      <c r="M39" s="528"/>
    </row>
    <row r="40" spans="2:13" ht="12.75">
      <c r="B40" s="529"/>
      <c r="C40" s="530"/>
      <c r="D40" s="530"/>
      <c r="E40" s="530"/>
      <c r="F40" s="530"/>
      <c r="G40" s="531"/>
      <c r="H40" s="529"/>
      <c r="I40" s="530"/>
      <c r="J40" s="530"/>
      <c r="K40" s="530"/>
      <c r="L40" s="530"/>
      <c r="M40" s="531"/>
    </row>
    <row r="41" ht="12.75">
      <c r="B41" s="143" t="s">
        <v>140</v>
      </c>
    </row>
    <row r="42" ht="12.75"/>
    <row r="43" ht="12.75"/>
  </sheetData>
  <sheetProtection/>
  <mergeCells count="29">
    <mergeCell ref="L14:M14"/>
    <mergeCell ref="H3:I3"/>
    <mergeCell ref="J3:M3"/>
    <mergeCell ref="B3:E3"/>
    <mergeCell ref="F3:G3"/>
    <mergeCell ref="J13:K13"/>
    <mergeCell ref="J12:K12"/>
    <mergeCell ref="J11:M11"/>
    <mergeCell ref="L13:M13"/>
    <mergeCell ref="L22:L23"/>
    <mergeCell ref="M22:M23"/>
    <mergeCell ref="J14:K14"/>
    <mergeCell ref="J15:K15"/>
    <mergeCell ref="L16:L17"/>
    <mergeCell ref="M16:M17"/>
    <mergeCell ref="L18:L19"/>
    <mergeCell ref="M18:M19"/>
    <mergeCell ref="L20:L21"/>
    <mergeCell ref="M20:M21"/>
    <mergeCell ref="B27:G40"/>
    <mergeCell ref="H27:M40"/>
    <mergeCell ref="J6:M6"/>
    <mergeCell ref="J10:M10"/>
    <mergeCell ref="B2:M2"/>
    <mergeCell ref="J16:K17"/>
    <mergeCell ref="J18:K19"/>
    <mergeCell ref="J20:K21"/>
    <mergeCell ref="J22:K23"/>
    <mergeCell ref="L12:M12"/>
  </mergeCells>
  <printOptions horizontalCentered="1" verticalCentered="1"/>
  <pageMargins left="0.7" right="0.7" top="0.1" bottom="0.1" header="0.3" footer="0.3"/>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M41"/>
  <sheetViews>
    <sheetView workbookViewId="0" topLeftCell="A1">
      <selection activeCell="J3" sqref="J3:M3"/>
    </sheetView>
  </sheetViews>
  <sheetFormatPr defaultColWidth="0" defaultRowHeight="12.75" customHeight="1" zeroHeight="1"/>
  <cols>
    <col min="1" max="1" width="6.00390625" style="119" customWidth="1"/>
    <col min="2" max="8" width="9.140625" style="119" customWidth="1"/>
    <col min="9" max="9" width="9.8515625" style="119" customWidth="1"/>
    <col min="10" max="14" width="9.140625" style="119" customWidth="1"/>
    <col min="15" max="16384" width="0" style="119" hidden="1" customWidth="1"/>
  </cols>
  <sheetData>
    <row r="1" spans="1:2" ht="25.5" customHeight="1">
      <c r="A1" s="145" t="s">
        <v>146</v>
      </c>
      <c r="B1" s="144"/>
    </row>
    <row r="2" spans="2:13" ht="24" customHeight="1">
      <c r="B2" s="534" t="s">
        <v>145</v>
      </c>
      <c r="C2" s="534"/>
      <c r="D2" s="534"/>
      <c r="E2" s="534"/>
      <c r="F2" s="534"/>
      <c r="G2" s="534"/>
      <c r="H2" s="534"/>
      <c r="I2" s="534"/>
      <c r="J2" s="534"/>
      <c r="K2" s="534"/>
      <c r="L2" s="534"/>
      <c r="M2" s="534"/>
    </row>
    <row r="3" spans="2:13" ht="15.75" customHeight="1">
      <c r="B3" s="545" t="s">
        <v>127</v>
      </c>
      <c r="C3" s="545"/>
      <c r="D3" s="545"/>
      <c r="E3" s="545"/>
      <c r="F3" s="547" t="str">
        <f>'Tính toán ĐC SMRM - Sơ bộ'!E4</f>
        <v>29H-XXXX</v>
      </c>
      <c r="G3" s="547"/>
      <c r="H3" s="545" t="str">
        <f>'Tính toán ĐC SMRM - Sơ bộ'!$G$4</f>
        <v>Số khung: </v>
      </c>
      <c r="I3" s="545"/>
      <c r="J3" s="546" t="str">
        <f>'Tính toán ĐC SMRM - Sơ bộ'!H4</f>
        <v>LGA…</v>
      </c>
      <c r="K3" s="546"/>
      <c r="L3" s="546"/>
      <c r="M3" s="546"/>
    </row>
    <row r="4" spans="2:13" ht="12.75">
      <c r="B4" s="120"/>
      <c r="C4" s="121"/>
      <c r="D4" s="121"/>
      <c r="E4" s="121"/>
      <c r="F4" s="121"/>
      <c r="G4" s="121"/>
      <c r="H4" s="122"/>
      <c r="I4" s="122"/>
      <c r="J4" s="122"/>
      <c r="K4" s="122"/>
      <c r="L4" s="122"/>
      <c r="M4" s="122"/>
    </row>
    <row r="5" ht="12.75">
      <c r="E5" s="123">
        <f>'Tính toán ĐC SMRM - Sơ bộ'!$F$9+'Tính toán ĐC SMRM - Sơ bộ'!M9+'Tính toán ĐC SMRM - Sơ bộ'!N9</f>
        <v>12700</v>
      </c>
    </row>
    <row r="6" spans="10:13" ht="12.75">
      <c r="J6" s="532"/>
      <c r="K6" s="532"/>
      <c r="L6" s="532"/>
      <c r="M6" s="532"/>
    </row>
    <row r="7" ht="12.75">
      <c r="F7" s="124" t="s">
        <v>120</v>
      </c>
    </row>
    <row r="8" ht="12.75">
      <c r="F8" s="123">
        <f>'Tính toán ĐC SMRM - Sơ bộ'!$D$29</f>
        <v>4790</v>
      </c>
    </row>
    <row r="9" ht="12.75"/>
    <row r="10" spans="10:13" ht="12.75">
      <c r="J10" s="533" t="s">
        <v>121</v>
      </c>
      <c r="K10" s="533"/>
      <c r="L10" s="533"/>
      <c r="M10" s="533"/>
    </row>
    <row r="11" spans="10:13" ht="12.75">
      <c r="J11" s="548"/>
      <c r="K11" s="548"/>
      <c r="L11" s="548"/>
      <c r="M11" s="548"/>
    </row>
    <row r="12" spans="10:13" ht="12.75">
      <c r="J12" s="542" t="s">
        <v>122</v>
      </c>
      <c r="K12" s="543"/>
      <c r="L12" s="536" t="str">
        <f>CONCATENATE(E5," x          "," x")</f>
        <v>12700 x           x</v>
      </c>
      <c r="M12" s="537"/>
    </row>
    <row r="13" spans="10:13" ht="12.75">
      <c r="J13" s="542" t="s">
        <v>32</v>
      </c>
      <c r="K13" s="543"/>
      <c r="L13" s="549" t="str">
        <f>'Tính toán ĐC SMRM - Sơ bộ'!C30</f>
        <v>9420 + 1310</v>
      </c>
      <c r="M13" s="533"/>
    </row>
    <row r="14" spans="10:13" ht="12.75">
      <c r="J14" s="542" t="s">
        <v>129</v>
      </c>
      <c r="K14" s="543"/>
      <c r="L14" s="544"/>
      <c r="M14" s="544"/>
    </row>
    <row r="15" spans="10:13" ht="12.75">
      <c r="J15" s="542" t="s">
        <v>0</v>
      </c>
      <c r="K15" s="543"/>
      <c r="L15" s="125">
        <f>'Tính toán Kiểm tra chi tiết'!C16</f>
        <v>3560</v>
      </c>
      <c r="M15" s="126" t="s">
        <v>1</v>
      </c>
    </row>
    <row r="16" spans="10:13" ht="60">
      <c r="J16" s="535" t="s">
        <v>123</v>
      </c>
      <c r="K16" s="535"/>
      <c r="L16" s="538">
        <f>'Tính toán Kiểm tra chi tiết'!C17</f>
        <v>30000</v>
      </c>
      <c r="M16" s="540" t="s">
        <v>1</v>
      </c>
    </row>
    <row r="17" spans="10:13" ht="12.75" customHeight="1">
      <c r="J17" s="535"/>
      <c r="K17" s="535"/>
      <c r="L17" s="539"/>
      <c r="M17" s="541"/>
    </row>
    <row r="18" spans="10:13" ht="60">
      <c r="J18" s="535" t="s">
        <v>124</v>
      </c>
      <c r="K18" s="535"/>
      <c r="L18" s="538">
        <f>'Tính toán Kiểm tra chi tiết'!C18</f>
        <v>29490</v>
      </c>
      <c r="M18" s="540" t="s">
        <v>1</v>
      </c>
    </row>
    <row r="19" spans="10:13" ht="12.75">
      <c r="J19" s="535"/>
      <c r="K19" s="535"/>
      <c r="L19" s="539"/>
      <c r="M19" s="541"/>
    </row>
    <row r="20" spans="10:13" ht="36">
      <c r="J20" s="535" t="s">
        <v>125</v>
      </c>
      <c r="K20" s="535"/>
      <c r="L20" s="538">
        <f>'Tính toán Kiểm tra chi tiết'!C19</f>
        <v>33560</v>
      </c>
      <c r="M20" s="540" t="s">
        <v>1</v>
      </c>
    </row>
    <row r="21" spans="10:13" ht="12.75">
      <c r="J21" s="535"/>
      <c r="K21" s="535"/>
      <c r="L21" s="539"/>
      <c r="M21" s="541"/>
    </row>
    <row r="22" spans="1:13" ht="36">
      <c r="A22" s="156">
        <f>'Tính toán ĐC SMRM - Sơ bộ'!M9</f>
        <v>150</v>
      </c>
      <c r="B22" s="127" t="str">
        <f>CONCATENATE(" ",'Tính toán ĐC SMRM - Sơ bộ'!$E$29)</f>
        <v> 900</v>
      </c>
      <c r="D22" s="123">
        <f>'Tính toán ĐC SMRM - Sơ bộ'!I38</f>
        <v>9420</v>
      </c>
      <c r="G22" s="149">
        <f>'Tính toán ĐC SMRM - Sơ bộ'!J38</f>
        <v>1310</v>
      </c>
      <c r="I22" s="158">
        <f>'Tính toán ĐC SMRM - Sơ bộ'!N9</f>
        <v>150</v>
      </c>
      <c r="J22" s="535" t="s">
        <v>39</v>
      </c>
      <c r="K22" s="535"/>
      <c r="L22" s="538">
        <f>'Tính toán Kiểm tra chi tiết'!C20</f>
        <v>33050</v>
      </c>
      <c r="M22" s="540" t="s">
        <v>1</v>
      </c>
    </row>
    <row r="23" spans="10:13" ht="12.75">
      <c r="J23" s="535"/>
      <c r="K23" s="535"/>
      <c r="L23" s="539"/>
      <c r="M23" s="541"/>
    </row>
    <row r="24" spans="4:11" ht="12.75" customHeight="1">
      <c r="D24" s="123"/>
      <c r="H24" s="123">
        <f>'Tính toán ĐC SMRM - Sơ bộ'!$F$29</f>
        <v>1425</v>
      </c>
      <c r="J24" s="550"/>
      <c r="K24" s="551"/>
    </row>
    <row r="25" ht="12.75"/>
    <row r="26" ht="12.75"/>
    <row r="27" spans="2:13" ht="12.75">
      <c r="B27" s="523" t="s">
        <v>153</v>
      </c>
      <c r="C27" s="524"/>
      <c r="D27" s="524"/>
      <c r="E27" s="524"/>
      <c r="F27" s="524"/>
      <c r="G27" s="525"/>
      <c r="H27" s="523" t="s">
        <v>154</v>
      </c>
      <c r="I27" s="524"/>
      <c r="J27" s="524"/>
      <c r="K27" s="524"/>
      <c r="L27" s="524"/>
      <c r="M27" s="525"/>
    </row>
    <row r="28" spans="2:13" ht="12.75">
      <c r="B28" s="526"/>
      <c r="C28" s="527"/>
      <c r="D28" s="527"/>
      <c r="E28" s="527"/>
      <c r="F28" s="527"/>
      <c r="G28" s="528"/>
      <c r="H28" s="526"/>
      <c r="I28" s="527"/>
      <c r="J28" s="527"/>
      <c r="K28" s="527"/>
      <c r="L28" s="527"/>
      <c r="M28" s="528"/>
    </row>
    <row r="29" spans="2:13" ht="12.75">
      <c r="B29" s="526"/>
      <c r="C29" s="527"/>
      <c r="D29" s="527"/>
      <c r="E29" s="527"/>
      <c r="F29" s="527"/>
      <c r="G29" s="528"/>
      <c r="H29" s="526"/>
      <c r="I29" s="527"/>
      <c r="J29" s="527"/>
      <c r="K29" s="527"/>
      <c r="L29" s="527"/>
      <c r="M29" s="528"/>
    </row>
    <row r="30" spans="2:13" ht="12.75">
      <c r="B30" s="526"/>
      <c r="C30" s="527"/>
      <c r="D30" s="527"/>
      <c r="E30" s="527"/>
      <c r="F30" s="527"/>
      <c r="G30" s="528"/>
      <c r="H30" s="526"/>
      <c r="I30" s="527"/>
      <c r="J30" s="527"/>
      <c r="K30" s="527"/>
      <c r="L30" s="527"/>
      <c r="M30" s="528"/>
    </row>
    <row r="31" spans="2:13" ht="12.75">
      <c r="B31" s="526"/>
      <c r="C31" s="527"/>
      <c r="D31" s="527"/>
      <c r="E31" s="527"/>
      <c r="F31" s="527"/>
      <c r="G31" s="528"/>
      <c r="H31" s="526"/>
      <c r="I31" s="527"/>
      <c r="J31" s="527"/>
      <c r="K31" s="527"/>
      <c r="L31" s="527"/>
      <c r="M31" s="528"/>
    </row>
    <row r="32" spans="2:13" ht="12.75">
      <c r="B32" s="526"/>
      <c r="C32" s="527"/>
      <c r="D32" s="527"/>
      <c r="E32" s="527"/>
      <c r="F32" s="527"/>
      <c r="G32" s="528"/>
      <c r="H32" s="526"/>
      <c r="I32" s="527"/>
      <c r="J32" s="527"/>
      <c r="K32" s="527"/>
      <c r="L32" s="527"/>
      <c r="M32" s="528"/>
    </row>
    <row r="33" spans="2:13" ht="12.75">
      <c r="B33" s="526"/>
      <c r="C33" s="527"/>
      <c r="D33" s="527"/>
      <c r="E33" s="527"/>
      <c r="F33" s="527"/>
      <c r="G33" s="528"/>
      <c r="H33" s="526"/>
      <c r="I33" s="527"/>
      <c r="J33" s="527"/>
      <c r="K33" s="527"/>
      <c r="L33" s="527"/>
      <c r="M33" s="528"/>
    </row>
    <row r="34" spans="2:13" ht="12.75">
      <c r="B34" s="526"/>
      <c r="C34" s="527"/>
      <c r="D34" s="527"/>
      <c r="E34" s="527"/>
      <c r="F34" s="527"/>
      <c r="G34" s="528"/>
      <c r="H34" s="526"/>
      <c r="I34" s="527"/>
      <c r="J34" s="527"/>
      <c r="K34" s="527"/>
      <c r="L34" s="527"/>
      <c r="M34" s="528"/>
    </row>
    <row r="35" spans="2:13" ht="12.75">
      <c r="B35" s="526"/>
      <c r="C35" s="527"/>
      <c r="D35" s="527"/>
      <c r="E35" s="527"/>
      <c r="F35" s="527"/>
      <c r="G35" s="528"/>
      <c r="H35" s="526"/>
      <c r="I35" s="527"/>
      <c r="J35" s="527"/>
      <c r="K35" s="527"/>
      <c r="L35" s="527"/>
      <c r="M35" s="528"/>
    </row>
    <row r="36" spans="2:13" ht="12.75">
      <c r="B36" s="526"/>
      <c r="C36" s="527"/>
      <c r="D36" s="527"/>
      <c r="E36" s="527"/>
      <c r="F36" s="527"/>
      <c r="G36" s="528"/>
      <c r="H36" s="526"/>
      <c r="I36" s="527"/>
      <c r="J36" s="527"/>
      <c r="K36" s="527"/>
      <c r="L36" s="527"/>
      <c r="M36" s="528"/>
    </row>
    <row r="37" spans="2:13" ht="12.75">
      <c r="B37" s="526"/>
      <c r="C37" s="527"/>
      <c r="D37" s="527"/>
      <c r="E37" s="527"/>
      <c r="F37" s="527"/>
      <c r="G37" s="528"/>
      <c r="H37" s="526"/>
      <c r="I37" s="527"/>
      <c r="J37" s="527"/>
      <c r="K37" s="527"/>
      <c r="L37" s="527"/>
      <c r="M37" s="528"/>
    </row>
    <row r="38" spans="2:13" ht="12.75">
      <c r="B38" s="526"/>
      <c r="C38" s="527"/>
      <c r="D38" s="527"/>
      <c r="E38" s="527"/>
      <c r="F38" s="527"/>
      <c r="G38" s="528"/>
      <c r="H38" s="526"/>
      <c r="I38" s="527"/>
      <c r="J38" s="527"/>
      <c r="K38" s="527"/>
      <c r="L38" s="527"/>
      <c r="M38" s="528"/>
    </row>
    <row r="39" spans="2:13" ht="12.75">
      <c r="B39" s="526"/>
      <c r="C39" s="527"/>
      <c r="D39" s="527"/>
      <c r="E39" s="527"/>
      <c r="F39" s="527"/>
      <c r="G39" s="528"/>
      <c r="H39" s="526"/>
      <c r="I39" s="527"/>
      <c r="J39" s="527"/>
      <c r="K39" s="527"/>
      <c r="L39" s="527"/>
      <c r="M39" s="528"/>
    </row>
    <row r="40" spans="2:13" ht="12.75">
      <c r="B40" s="529"/>
      <c r="C40" s="530"/>
      <c r="D40" s="530"/>
      <c r="E40" s="530"/>
      <c r="F40" s="530"/>
      <c r="G40" s="531"/>
      <c r="H40" s="529"/>
      <c r="I40" s="530"/>
      <c r="J40" s="530"/>
      <c r="K40" s="530"/>
      <c r="L40" s="530"/>
      <c r="M40" s="531"/>
    </row>
    <row r="41" ht="12.75">
      <c r="B41" s="143" t="s">
        <v>140</v>
      </c>
    </row>
    <row r="42" ht="12.75"/>
    <row r="43" ht="12.75"/>
  </sheetData>
  <sheetProtection/>
  <mergeCells count="30">
    <mergeCell ref="B2:M2"/>
    <mergeCell ref="B3:E3"/>
    <mergeCell ref="F3:G3"/>
    <mergeCell ref="H3:I3"/>
    <mergeCell ref="J3:M3"/>
    <mergeCell ref="J6:M6"/>
    <mergeCell ref="J10:M10"/>
    <mergeCell ref="J11:M11"/>
    <mergeCell ref="J12:K12"/>
    <mergeCell ref="L12:M12"/>
    <mergeCell ref="J13:K13"/>
    <mergeCell ref="L13:M13"/>
    <mergeCell ref="J14:K14"/>
    <mergeCell ref="L14:M14"/>
    <mergeCell ref="J15:K15"/>
    <mergeCell ref="J16:K17"/>
    <mergeCell ref="L16:L17"/>
    <mergeCell ref="M16:M17"/>
    <mergeCell ref="J18:K19"/>
    <mergeCell ref="L18:L19"/>
    <mergeCell ref="M18:M19"/>
    <mergeCell ref="J20:K21"/>
    <mergeCell ref="L20:L21"/>
    <mergeCell ref="M20:M21"/>
    <mergeCell ref="J24:K24"/>
    <mergeCell ref="J22:K23"/>
    <mergeCell ref="L22:L23"/>
    <mergeCell ref="M22:M23"/>
    <mergeCell ref="B27:G40"/>
    <mergeCell ref="H27:M40"/>
  </mergeCells>
  <printOptions horizontalCentered="1" verticalCentered="1"/>
  <pageMargins left="0.7" right="0.7" top="0.34" bottom="0.3" header="0.23" footer="0.1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dc:creator>
  <cp:keywords/>
  <dc:description/>
  <cp:lastModifiedBy>khadv</cp:lastModifiedBy>
  <cp:lastPrinted>2015-08-20T03:23:38Z</cp:lastPrinted>
  <dcterms:created xsi:type="dcterms:W3CDTF">2014-02-25T07:50:12Z</dcterms:created>
  <dcterms:modified xsi:type="dcterms:W3CDTF">2015-08-21T01:08:24Z</dcterms:modified>
  <cp:category/>
  <cp:version/>
  <cp:contentType/>
  <cp:contentStatus/>
</cp:coreProperties>
</file>